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fincz\Desktop\szakdoga\Végleges\"/>
    </mc:Choice>
  </mc:AlternateContent>
  <xr:revisionPtr revIDLastSave="0" documentId="13_ncr:1_{831F6A4C-3B48-4459-AB59-6EBA709B9C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éret" sheetId="11" r:id="rId1"/>
    <sheet name="OTP Bank Nyrt." sheetId="1" r:id="rId2"/>
    <sheet name="PKO Bank" sheetId="3" r:id="rId3"/>
    <sheet name="Raiffeisen" sheetId="5" r:id="rId4"/>
    <sheet name="Erste Bank" sheetId="4" r:id="rId5"/>
    <sheet name="Benchmark Eurozóna adatok" sheetId="6" r:id="rId6"/>
    <sheet name="Eredményesség" sheetId="7" r:id="rId7"/>
    <sheet name="Hatékonyság" sheetId="8" r:id="rId8"/>
    <sheet name="Likviditás" sheetId="9" r:id="rId9"/>
    <sheet name="Tőzsde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16" i="10" s="1"/>
  <c r="C18" i="10"/>
  <c r="H18" i="10"/>
  <c r="M24" i="4"/>
  <c r="M18" i="10" s="1"/>
  <c r="H24" i="4"/>
  <c r="F24" i="4"/>
  <c r="F18" i="10" s="1"/>
  <c r="C24" i="4"/>
  <c r="M25" i="5"/>
  <c r="M19" i="10" s="1"/>
  <c r="H25" i="5"/>
  <c r="H19" i="10" s="1"/>
  <c r="F25" i="5"/>
  <c r="F19" i="10" s="1"/>
  <c r="C25" i="5"/>
  <c r="C19" i="10" s="1"/>
  <c r="M30" i="3"/>
  <c r="M17" i="10" s="1"/>
  <c r="H30" i="3"/>
  <c r="H17" i="10" s="1"/>
  <c r="F30" i="3"/>
  <c r="F17" i="10" s="1"/>
  <c r="C30" i="3"/>
  <c r="C17" i="10" s="1"/>
  <c r="C33" i="1"/>
  <c r="C16" i="10" s="1"/>
  <c r="H33" i="1"/>
  <c r="H16" i="10" s="1"/>
  <c r="M33" i="1"/>
  <c r="M16" i="10" s="1"/>
  <c r="C44" i="4"/>
  <c r="D44" i="4"/>
  <c r="E44" i="4"/>
  <c r="F44" i="4"/>
  <c r="G44" i="4"/>
  <c r="K44" i="4"/>
  <c r="N44" i="4" s="1"/>
  <c r="L44" i="4"/>
  <c r="P44" i="4"/>
  <c r="Q44" i="4"/>
  <c r="R44" i="4"/>
  <c r="P54" i="5"/>
  <c r="Q54" i="5"/>
  <c r="R54" i="5"/>
  <c r="K54" i="5"/>
  <c r="L54" i="5"/>
  <c r="C54" i="5"/>
  <c r="D54" i="5"/>
  <c r="E54" i="5"/>
  <c r="F54" i="5"/>
  <c r="G54" i="5"/>
  <c r="C53" i="1"/>
  <c r="P61" i="3"/>
  <c r="Q61" i="3"/>
  <c r="R61" i="3"/>
  <c r="K61" i="3"/>
  <c r="L61" i="3"/>
  <c r="C61" i="3"/>
  <c r="D61" i="3"/>
  <c r="E61" i="3"/>
  <c r="F61" i="3"/>
  <c r="G61" i="3"/>
  <c r="M54" i="5" l="1"/>
  <c r="T44" i="4"/>
  <c r="I44" i="4"/>
  <c r="T54" i="5"/>
  <c r="S54" i="5"/>
  <c r="H54" i="5"/>
  <c r="N54" i="5"/>
  <c r="N61" i="3"/>
  <c r="S61" i="3"/>
  <c r="M61" i="3"/>
  <c r="T61" i="3"/>
  <c r="S44" i="4"/>
  <c r="M44" i="4"/>
  <c r="H44" i="4"/>
  <c r="I54" i="5"/>
  <c r="H61" i="3"/>
  <c r="I61" i="3"/>
  <c r="C54" i="1" l="1"/>
  <c r="S53" i="1"/>
  <c r="T53" i="1"/>
  <c r="M53" i="1"/>
  <c r="N53" i="1"/>
  <c r="E3" i="11"/>
  <c r="E4" i="11"/>
  <c r="E5" i="11"/>
  <c r="E2" i="11"/>
  <c r="Y12" i="10"/>
  <c r="X12" i="10"/>
  <c r="V12" i="10"/>
  <c r="U12" i="10"/>
  <c r="T12" i="10"/>
  <c r="S12" i="10"/>
  <c r="Q12" i="10"/>
  <c r="P12" i="10"/>
  <c r="O12" i="10"/>
  <c r="N12" i="10"/>
  <c r="Y11" i="10"/>
  <c r="X11" i="10"/>
  <c r="V11" i="10"/>
  <c r="U11" i="10"/>
  <c r="T11" i="10"/>
  <c r="S11" i="10"/>
  <c r="Q11" i="10"/>
  <c r="P11" i="10"/>
  <c r="O11" i="10"/>
  <c r="N11" i="10"/>
  <c r="Y10" i="10"/>
  <c r="X10" i="10"/>
  <c r="V10" i="10"/>
  <c r="U10" i="10"/>
  <c r="T10" i="10"/>
  <c r="S10" i="10"/>
  <c r="Q10" i="10"/>
  <c r="P10" i="10"/>
  <c r="O10" i="10"/>
  <c r="N10" i="10"/>
  <c r="Y9" i="10"/>
  <c r="X9" i="10"/>
  <c r="V9" i="10"/>
  <c r="U9" i="10"/>
  <c r="T9" i="10"/>
  <c r="S9" i="10"/>
  <c r="Q9" i="10"/>
  <c r="P9" i="10"/>
  <c r="O9" i="10"/>
  <c r="N9" i="10"/>
  <c r="Y5" i="10"/>
  <c r="X5" i="10"/>
  <c r="V5" i="10"/>
  <c r="U5" i="10"/>
  <c r="T5" i="10"/>
  <c r="S5" i="10"/>
  <c r="Q5" i="10"/>
  <c r="P5" i="10"/>
  <c r="O5" i="10"/>
  <c r="N5" i="10"/>
  <c r="Y4" i="10"/>
  <c r="X4" i="10"/>
  <c r="V4" i="10"/>
  <c r="U4" i="10"/>
  <c r="T4" i="10"/>
  <c r="S4" i="10"/>
  <c r="Q4" i="10"/>
  <c r="P4" i="10"/>
  <c r="O4" i="10"/>
  <c r="N4" i="10"/>
  <c r="Y3" i="10"/>
  <c r="X3" i="10"/>
  <c r="V3" i="10"/>
  <c r="U3" i="10"/>
  <c r="T3" i="10"/>
  <c r="S3" i="10"/>
  <c r="Q3" i="10"/>
  <c r="P3" i="10"/>
  <c r="O3" i="10"/>
  <c r="N3" i="10"/>
  <c r="Y2" i="10"/>
  <c r="X2" i="10"/>
  <c r="V2" i="10"/>
  <c r="U2" i="10"/>
  <c r="T2" i="10"/>
  <c r="S2" i="10"/>
  <c r="Q2" i="10"/>
  <c r="P2" i="10"/>
  <c r="O2" i="10"/>
  <c r="N2" i="10"/>
  <c r="N13" i="9"/>
  <c r="N12" i="9"/>
  <c r="N11" i="9"/>
  <c r="N10" i="9"/>
  <c r="N9" i="9"/>
  <c r="O10" i="9"/>
  <c r="O11" i="9"/>
  <c r="O12" i="9"/>
  <c r="O13" i="9"/>
  <c r="O9" i="9"/>
  <c r="Y20" i="9"/>
  <c r="X20" i="9"/>
  <c r="V20" i="9"/>
  <c r="U20" i="9"/>
  <c r="T20" i="9"/>
  <c r="S20" i="9"/>
  <c r="Q20" i="9"/>
  <c r="P20" i="9"/>
  <c r="O20" i="9"/>
  <c r="N20" i="9"/>
  <c r="Y19" i="9"/>
  <c r="X19" i="9"/>
  <c r="V19" i="9"/>
  <c r="U19" i="9"/>
  <c r="T19" i="9"/>
  <c r="S19" i="9"/>
  <c r="Q19" i="9"/>
  <c r="P19" i="9"/>
  <c r="O19" i="9"/>
  <c r="N19" i="9"/>
  <c r="Y18" i="9"/>
  <c r="X18" i="9"/>
  <c r="V18" i="9"/>
  <c r="U18" i="9"/>
  <c r="T18" i="9"/>
  <c r="S18" i="9"/>
  <c r="Q18" i="9"/>
  <c r="P18" i="9"/>
  <c r="O18" i="9"/>
  <c r="N18" i="9"/>
  <c r="Y17" i="9"/>
  <c r="X17" i="9"/>
  <c r="V17" i="9"/>
  <c r="U17" i="9"/>
  <c r="T17" i="9"/>
  <c r="S17" i="9"/>
  <c r="Q17" i="9"/>
  <c r="P17" i="9"/>
  <c r="O17" i="9"/>
  <c r="N17" i="9"/>
  <c r="Y16" i="9"/>
  <c r="X16" i="9"/>
  <c r="V16" i="9"/>
  <c r="U16" i="9"/>
  <c r="T16" i="9"/>
  <c r="S16" i="9"/>
  <c r="Q16" i="9"/>
  <c r="P16" i="9"/>
  <c r="O16" i="9"/>
  <c r="N16" i="9"/>
  <c r="Y13" i="9"/>
  <c r="X13" i="9"/>
  <c r="V13" i="9"/>
  <c r="U13" i="9"/>
  <c r="T13" i="9"/>
  <c r="S13" i="9"/>
  <c r="Q13" i="9"/>
  <c r="P13" i="9"/>
  <c r="Y12" i="9"/>
  <c r="X12" i="9"/>
  <c r="V12" i="9"/>
  <c r="U12" i="9"/>
  <c r="T12" i="9"/>
  <c r="S12" i="9"/>
  <c r="Q12" i="9"/>
  <c r="P12" i="9"/>
  <c r="Y11" i="9"/>
  <c r="X11" i="9"/>
  <c r="V11" i="9"/>
  <c r="U11" i="9"/>
  <c r="T11" i="9"/>
  <c r="S11" i="9"/>
  <c r="Q11" i="9"/>
  <c r="P11" i="9"/>
  <c r="Y10" i="9"/>
  <c r="X10" i="9"/>
  <c r="V10" i="9"/>
  <c r="U10" i="9"/>
  <c r="T10" i="9"/>
  <c r="S10" i="9"/>
  <c r="Q10" i="9"/>
  <c r="P10" i="9"/>
  <c r="Y9" i="9"/>
  <c r="X9" i="9"/>
  <c r="V9" i="9"/>
  <c r="U9" i="9"/>
  <c r="T9" i="9"/>
  <c r="S9" i="9"/>
  <c r="Q9" i="9"/>
  <c r="P9" i="9"/>
  <c r="Y6" i="9"/>
  <c r="X6" i="9"/>
  <c r="V6" i="9"/>
  <c r="U6" i="9"/>
  <c r="T6" i="9"/>
  <c r="S6" i="9"/>
  <c r="Q6" i="9"/>
  <c r="P6" i="9"/>
  <c r="O6" i="9"/>
  <c r="N6" i="9"/>
  <c r="Y5" i="9"/>
  <c r="X5" i="9"/>
  <c r="V5" i="9"/>
  <c r="U5" i="9"/>
  <c r="T5" i="9"/>
  <c r="S5" i="9"/>
  <c r="Q5" i="9"/>
  <c r="P5" i="9"/>
  <c r="O5" i="9"/>
  <c r="N5" i="9"/>
  <c r="Y4" i="9"/>
  <c r="X4" i="9"/>
  <c r="V4" i="9"/>
  <c r="U4" i="9"/>
  <c r="T4" i="9"/>
  <c r="S4" i="9"/>
  <c r="Q4" i="9"/>
  <c r="P4" i="9"/>
  <c r="O4" i="9"/>
  <c r="N4" i="9"/>
  <c r="Y3" i="9"/>
  <c r="X3" i="9"/>
  <c r="V3" i="9"/>
  <c r="U3" i="9"/>
  <c r="T3" i="9"/>
  <c r="S3" i="9"/>
  <c r="Q3" i="9"/>
  <c r="P3" i="9"/>
  <c r="O3" i="9"/>
  <c r="N3" i="9"/>
  <c r="Y2" i="9"/>
  <c r="X2" i="9"/>
  <c r="V2" i="9"/>
  <c r="U2" i="9"/>
  <c r="T2" i="9"/>
  <c r="S2" i="9"/>
  <c r="Q2" i="9"/>
  <c r="P2" i="9"/>
  <c r="O2" i="9"/>
  <c r="N2" i="9"/>
  <c r="O2" i="8"/>
  <c r="Y13" i="8"/>
  <c r="X13" i="8"/>
  <c r="V13" i="8"/>
  <c r="U13" i="8"/>
  <c r="T13" i="8"/>
  <c r="S13" i="8"/>
  <c r="Q13" i="8"/>
  <c r="P13" i="8"/>
  <c r="O13" i="8"/>
  <c r="N13" i="8"/>
  <c r="Y12" i="8"/>
  <c r="X12" i="8"/>
  <c r="V12" i="8"/>
  <c r="U12" i="8"/>
  <c r="T12" i="8"/>
  <c r="S12" i="8"/>
  <c r="Q12" i="8"/>
  <c r="P12" i="8"/>
  <c r="O12" i="8"/>
  <c r="N12" i="8"/>
  <c r="Y11" i="8"/>
  <c r="X11" i="8"/>
  <c r="V11" i="8"/>
  <c r="U11" i="8"/>
  <c r="T11" i="8"/>
  <c r="S11" i="8"/>
  <c r="Q11" i="8"/>
  <c r="P11" i="8"/>
  <c r="O11" i="8"/>
  <c r="N11" i="8"/>
  <c r="Y10" i="8"/>
  <c r="X10" i="8"/>
  <c r="V10" i="8"/>
  <c r="U10" i="8"/>
  <c r="T10" i="8"/>
  <c r="S10" i="8"/>
  <c r="Q10" i="8"/>
  <c r="P10" i="8"/>
  <c r="O10" i="8"/>
  <c r="N10" i="8"/>
  <c r="Y9" i="8"/>
  <c r="X9" i="8"/>
  <c r="V9" i="8"/>
  <c r="U9" i="8"/>
  <c r="T9" i="8"/>
  <c r="S9" i="8"/>
  <c r="Q9" i="8"/>
  <c r="P9" i="8"/>
  <c r="O9" i="8"/>
  <c r="N9" i="8"/>
  <c r="Y6" i="8"/>
  <c r="X6" i="8"/>
  <c r="V6" i="8"/>
  <c r="U6" i="8"/>
  <c r="T6" i="8"/>
  <c r="S6" i="8"/>
  <c r="Q6" i="8"/>
  <c r="P6" i="8"/>
  <c r="O6" i="8"/>
  <c r="N6" i="8"/>
  <c r="Y5" i="8"/>
  <c r="X5" i="8"/>
  <c r="V5" i="8"/>
  <c r="U5" i="8"/>
  <c r="T5" i="8"/>
  <c r="S5" i="8"/>
  <c r="Q5" i="8"/>
  <c r="P5" i="8"/>
  <c r="O5" i="8"/>
  <c r="N5" i="8"/>
  <c r="Y4" i="8"/>
  <c r="X4" i="8"/>
  <c r="V4" i="8"/>
  <c r="U4" i="8"/>
  <c r="T4" i="8"/>
  <c r="S4" i="8"/>
  <c r="Q4" i="8"/>
  <c r="P4" i="8"/>
  <c r="O4" i="8"/>
  <c r="N4" i="8"/>
  <c r="Y3" i="8"/>
  <c r="X3" i="8"/>
  <c r="V3" i="8"/>
  <c r="U3" i="8"/>
  <c r="T3" i="8"/>
  <c r="S3" i="8"/>
  <c r="Q3" i="8"/>
  <c r="P3" i="8"/>
  <c r="O3" i="8"/>
  <c r="N3" i="8"/>
  <c r="Y2" i="8"/>
  <c r="X2" i="8"/>
  <c r="V2" i="8"/>
  <c r="U2" i="8"/>
  <c r="T2" i="8"/>
  <c r="S2" i="8"/>
  <c r="Q2" i="8"/>
  <c r="P2" i="8"/>
  <c r="N2" i="8"/>
  <c r="R49" i="5"/>
  <c r="Q49" i="5"/>
  <c r="P49" i="5"/>
  <c r="L49" i="5"/>
  <c r="K49" i="5"/>
  <c r="G49" i="5"/>
  <c r="F49" i="5"/>
  <c r="E49" i="5"/>
  <c r="D49" i="5"/>
  <c r="R48" i="5"/>
  <c r="Q48" i="5"/>
  <c r="P48" i="5"/>
  <c r="L48" i="5"/>
  <c r="K48" i="5"/>
  <c r="G48" i="5"/>
  <c r="F48" i="5"/>
  <c r="E48" i="5"/>
  <c r="D48" i="5"/>
  <c r="C48" i="5"/>
  <c r="R44" i="5"/>
  <c r="Q44" i="5"/>
  <c r="P44" i="5"/>
  <c r="L44" i="5"/>
  <c r="K44" i="5"/>
  <c r="G44" i="5"/>
  <c r="F44" i="5"/>
  <c r="E44" i="5"/>
  <c r="D44" i="5"/>
  <c r="C44" i="5"/>
  <c r="R43" i="5"/>
  <c r="Q43" i="5"/>
  <c r="P43" i="5"/>
  <c r="L43" i="5"/>
  <c r="K43" i="5"/>
  <c r="G43" i="5"/>
  <c r="F43" i="5"/>
  <c r="E43" i="5"/>
  <c r="D43" i="5"/>
  <c r="C43" i="5"/>
  <c r="R39" i="5"/>
  <c r="Q39" i="5"/>
  <c r="P39" i="5"/>
  <c r="L39" i="5"/>
  <c r="K39" i="5"/>
  <c r="G39" i="5"/>
  <c r="F39" i="5"/>
  <c r="E39" i="5"/>
  <c r="D39" i="5"/>
  <c r="C39" i="5"/>
  <c r="R46" i="4"/>
  <c r="Q46" i="4"/>
  <c r="P46" i="4"/>
  <c r="L46" i="4"/>
  <c r="K46" i="4"/>
  <c r="G46" i="4"/>
  <c r="F46" i="4"/>
  <c r="E46" i="4"/>
  <c r="D46" i="4"/>
  <c r="C46" i="4"/>
  <c r="R45" i="4"/>
  <c r="Q45" i="4"/>
  <c r="P45" i="4"/>
  <c r="L45" i="4"/>
  <c r="K45" i="4"/>
  <c r="G45" i="4"/>
  <c r="F45" i="4"/>
  <c r="E45" i="4"/>
  <c r="D45" i="4"/>
  <c r="C45" i="4"/>
  <c r="R40" i="4"/>
  <c r="Q40" i="4"/>
  <c r="P40" i="4"/>
  <c r="L40" i="4"/>
  <c r="K40" i="4"/>
  <c r="G40" i="4"/>
  <c r="F40" i="4"/>
  <c r="E40" i="4"/>
  <c r="D40" i="4"/>
  <c r="C40" i="4"/>
  <c r="R39" i="4"/>
  <c r="Q39" i="4"/>
  <c r="P39" i="4"/>
  <c r="L39" i="4"/>
  <c r="K39" i="4"/>
  <c r="G39" i="4"/>
  <c r="F39" i="4"/>
  <c r="E39" i="4"/>
  <c r="R38" i="4"/>
  <c r="Q38" i="4"/>
  <c r="P38" i="4"/>
  <c r="L38" i="4"/>
  <c r="K38" i="4"/>
  <c r="G38" i="4"/>
  <c r="F38" i="4"/>
  <c r="E38" i="4"/>
  <c r="D38" i="4"/>
  <c r="C38" i="4"/>
  <c r="R34" i="4"/>
  <c r="Q34" i="4"/>
  <c r="P34" i="4"/>
  <c r="L34" i="4"/>
  <c r="K34" i="4"/>
  <c r="G34" i="4"/>
  <c r="F34" i="4"/>
  <c r="E34" i="4"/>
  <c r="D34" i="4"/>
  <c r="C34" i="4"/>
  <c r="R33" i="4"/>
  <c r="Q33" i="4"/>
  <c r="P33" i="4"/>
  <c r="L33" i="4"/>
  <c r="K33" i="4"/>
  <c r="G33" i="4"/>
  <c r="F33" i="4"/>
  <c r="E33" i="4"/>
  <c r="D33" i="4"/>
  <c r="C33" i="4"/>
  <c r="R29" i="4"/>
  <c r="Q29" i="4"/>
  <c r="P29" i="4"/>
  <c r="L29" i="4"/>
  <c r="K29" i="4"/>
  <c r="G29" i="4"/>
  <c r="F29" i="4"/>
  <c r="E29" i="4"/>
  <c r="D29" i="4"/>
  <c r="C29" i="4"/>
  <c r="R56" i="3"/>
  <c r="Q56" i="3"/>
  <c r="P56" i="3"/>
  <c r="L56" i="3"/>
  <c r="K56" i="3"/>
  <c r="G56" i="3"/>
  <c r="F56" i="3"/>
  <c r="E56" i="3"/>
  <c r="R55" i="3"/>
  <c r="Q55" i="3"/>
  <c r="P55" i="3"/>
  <c r="L55" i="3"/>
  <c r="K55" i="3"/>
  <c r="G55" i="3"/>
  <c r="F55" i="3"/>
  <c r="E55" i="3"/>
  <c r="D55" i="3"/>
  <c r="C55" i="3"/>
  <c r="R51" i="3"/>
  <c r="Q51" i="3"/>
  <c r="P51" i="3"/>
  <c r="L51" i="3"/>
  <c r="K51" i="3"/>
  <c r="G51" i="3"/>
  <c r="F51" i="3"/>
  <c r="E51" i="3"/>
  <c r="D51" i="3"/>
  <c r="C51" i="3"/>
  <c r="R50" i="3"/>
  <c r="Q50" i="3"/>
  <c r="P50" i="3"/>
  <c r="L50" i="3"/>
  <c r="K50" i="3"/>
  <c r="G50" i="3"/>
  <c r="F50" i="3"/>
  <c r="E50" i="3"/>
  <c r="D50" i="3"/>
  <c r="C50" i="3"/>
  <c r="R46" i="3"/>
  <c r="Q46" i="3"/>
  <c r="P46" i="3"/>
  <c r="L46" i="3"/>
  <c r="K46" i="3"/>
  <c r="G46" i="3"/>
  <c r="F46" i="3"/>
  <c r="E46" i="3"/>
  <c r="D46" i="3"/>
  <c r="C46" i="3"/>
  <c r="L55" i="1"/>
  <c r="Q55" i="1"/>
  <c r="P55" i="1"/>
  <c r="G55" i="1"/>
  <c r="F55" i="1"/>
  <c r="C55" i="1"/>
  <c r="E54" i="1"/>
  <c r="P54" i="1" s="1"/>
  <c r="Q48" i="1"/>
  <c r="D48" i="1"/>
  <c r="C48" i="1"/>
  <c r="E47" i="1"/>
  <c r="Q42" i="1"/>
  <c r="F38" i="1"/>
  <c r="P38" i="1"/>
  <c r="G38" i="1"/>
  <c r="T3" i="7"/>
  <c r="U3" i="7"/>
  <c r="V3" i="7"/>
  <c r="T4" i="7"/>
  <c r="U4" i="7"/>
  <c r="V4" i="7"/>
  <c r="T5" i="7"/>
  <c r="U5" i="7"/>
  <c r="V5" i="7"/>
  <c r="T6" i="7"/>
  <c r="U6" i="7"/>
  <c r="V6" i="7"/>
  <c r="T9" i="7"/>
  <c r="U9" i="7"/>
  <c r="V9" i="7"/>
  <c r="T10" i="7"/>
  <c r="U10" i="7"/>
  <c r="V10" i="7"/>
  <c r="T11" i="7"/>
  <c r="U11" i="7"/>
  <c r="V11" i="7"/>
  <c r="T12" i="7"/>
  <c r="U12" i="7"/>
  <c r="V12" i="7"/>
  <c r="T13" i="7"/>
  <c r="U13" i="7"/>
  <c r="V13" i="7"/>
  <c r="T16" i="7"/>
  <c r="U16" i="7"/>
  <c r="V16" i="7"/>
  <c r="T17" i="7"/>
  <c r="U17" i="7"/>
  <c r="V17" i="7"/>
  <c r="T18" i="7"/>
  <c r="U18" i="7"/>
  <c r="V18" i="7"/>
  <c r="T19" i="7"/>
  <c r="U19" i="7"/>
  <c r="V19" i="7"/>
  <c r="T20" i="7"/>
  <c r="U20" i="7"/>
  <c r="V20" i="7"/>
  <c r="V2" i="7"/>
  <c r="U2" i="7"/>
  <c r="T2" i="7"/>
  <c r="O2" i="7"/>
  <c r="O3" i="7"/>
  <c r="P3" i="7"/>
  <c r="Q3" i="7"/>
  <c r="O4" i="7"/>
  <c r="P4" i="7"/>
  <c r="Q4" i="7"/>
  <c r="O5" i="7"/>
  <c r="P5" i="7"/>
  <c r="Q5" i="7"/>
  <c r="O6" i="7"/>
  <c r="P6" i="7"/>
  <c r="Q6" i="7"/>
  <c r="O9" i="7"/>
  <c r="P9" i="7"/>
  <c r="Q9" i="7"/>
  <c r="O10" i="7"/>
  <c r="P10" i="7"/>
  <c r="Q10" i="7"/>
  <c r="O11" i="7"/>
  <c r="P11" i="7"/>
  <c r="Q11" i="7"/>
  <c r="O12" i="7"/>
  <c r="P12" i="7"/>
  <c r="Q12" i="7"/>
  <c r="O13" i="7"/>
  <c r="P13" i="7"/>
  <c r="Q13" i="7"/>
  <c r="O16" i="7"/>
  <c r="P16" i="7"/>
  <c r="Q16" i="7"/>
  <c r="O17" i="7"/>
  <c r="P17" i="7"/>
  <c r="Q17" i="7"/>
  <c r="O18" i="7"/>
  <c r="P18" i="7"/>
  <c r="Q18" i="7"/>
  <c r="O19" i="7"/>
  <c r="P19" i="7"/>
  <c r="Q19" i="7"/>
  <c r="O20" i="7"/>
  <c r="P20" i="7"/>
  <c r="Q20" i="7"/>
  <c r="Q2" i="7"/>
  <c r="P2" i="7"/>
  <c r="S3" i="7"/>
  <c r="S4" i="7"/>
  <c r="S5" i="7"/>
  <c r="S6" i="7"/>
  <c r="S9" i="7"/>
  <c r="S10" i="7"/>
  <c r="S11" i="7"/>
  <c r="S12" i="7"/>
  <c r="S13" i="7"/>
  <c r="S16" i="7"/>
  <c r="S17" i="7"/>
  <c r="S18" i="7"/>
  <c r="S19" i="7"/>
  <c r="S20" i="7"/>
  <c r="S2" i="7"/>
  <c r="X3" i="7"/>
  <c r="Y3" i="7"/>
  <c r="X4" i="7"/>
  <c r="Y4" i="7"/>
  <c r="X5" i="7"/>
  <c r="Y5" i="7"/>
  <c r="X6" i="7"/>
  <c r="Y6" i="7"/>
  <c r="X9" i="7"/>
  <c r="Y9" i="7"/>
  <c r="X10" i="7"/>
  <c r="Y10" i="7"/>
  <c r="X11" i="7"/>
  <c r="Y11" i="7"/>
  <c r="X12" i="7"/>
  <c r="Y12" i="7"/>
  <c r="X13" i="7"/>
  <c r="Y13" i="7"/>
  <c r="X16" i="7"/>
  <c r="Y16" i="7"/>
  <c r="X17" i="7"/>
  <c r="Y17" i="7"/>
  <c r="X18" i="7"/>
  <c r="Y18" i="7"/>
  <c r="X19" i="7"/>
  <c r="Y19" i="7"/>
  <c r="X20" i="7"/>
  <c r="Y20" i="7"/>
  <c r="Y2" i="7"/>
  <c r="X2" i="7"/>
  <c r="N3" i="7"/>
  <c r="N4" i="7"/>
  <c r="N5" i="7"/>
  <c r="N6" i="7"/>
  <c r="N9" i="7"/>
  <c r="N10" i="7"/>
  <c r="N11" i="7"/>
  <c r="N12" i="7"/>
  <c r="N13" i="7"/>
  <c r="N16" i="7"/>
  <c r="N17" i="7"/>
  <c r="N18" i="7"/>
  <c r="N19" i="7"/>
  <c r="N20" i="7"/>
  <c r="N2" i="7"/>
  <c r="D8" i="1"/>
  <c r="E8" i="1"/>
  <c r="F8" i="1"/>
  <c r="G8" i="1"/>
  <c r="H8" i="1"/>
  <c r="I8" i="1"/>
  <c r="J8" i="1"/>
  <c r="K8" i="1"/>
  <c r="D37" i="1" s="1"/>
  <c r="L8" i="1"/>
  <c r="D4" i="1"/>
  <c r="Q36" i="1" s="1"/>
  <c r="E4" i="1"/>
  <c r="P36" i="1" s="1"/>
  <c r="F4" i="1"/>
  <c r="G4" i="1"/>
  <c r="K36" i="1" s="1"/>
  <c r="H4" i="1"/>
  <c r="G36" i="1" s="1"/>
  <c r="I4" i="1"/>
  <c r="J4" i="1"/>
  <c r="K4" i="1"/>
  <c r="D36" i="1" s="1"/>
  <c r="L4" i="1"/>
  <c r="C36" i="1" s="1"/>
  <c r="C8" i="1"/>
  <c r="C4" i="1"/>
  <c r="R36" i="1" s="1"/>
  <c r="H7" i="3"/>
  <c r="G45" i="3" s="1"/>
  <c r="I7" i="3"/>
  <c r="F45" i="3" s="1"/>
  <c r="J7" i="3"/>
  <c r="E45" i="3" s="1"/>
  <c r="K7" i="3"/>
  <c r="D45" i="3" s="1"/>
  <c r="L7" i="3"/>
  <c r="C45" i="3" s="1"/>
  <c r="H3" i="3"/>
  <c r="G44" i="3" s="1"/>
  <c r="I3" i="3"/>
  <c r="F44" i="3" s="1"/>
  <c r="J3" i="3"/>
  <c r="E44" i="3" s="1"/>
  <c r="K3" i="3"/>
  <c r="D44" i="3" s="1"/>
  <c r="L3" i="3"/>
  <c r="C44" i="3" s="1"/>
  <c r="D3" i="3"/>
  <c r="Q44" i="3" s="1"/>
  <c r="E3" i="3"/>
  <c r="P44" i="3" s="1"/>
  <c r="F3" i="3"/>
  <c r="L44" i="3" s="1"/>
  <c r="G3" i="3"/>
  <c r="K44" i="3" s="1"/>
  <c r="C3" i="3"/>
  <c r="R44" i="3" s="1"/>
  <c r="D7" i="3"/>
  <c r="Q45" i="3" s="1"/>
  <c r="E7" i="3"/>
  <c r="P45" i="3" s="1"/>
  <c r="F7" i="3"/>
  <c r="L45" i="3" s="1"/>
  <c r="G7" i="3"/>
  <c r="K45" i="3" s="1"/>
  <c r="C7" i="3"/>
  <c r="R45" i="3" s="1"/>
  <c r="L18" i="5"/>
  <c r="L17" i="5"/>
  <c r="L15" i="5" s="1"/>
  <c r="C50" i="5" s="1"/>
  <c r="K18" i="5"/>
  <c r="K17" i="5"/>
  <c r="J18" i="5"/>
  <c r="J17" i="5"/>
  <c r="J15" i="5" s="1"/>
  <c r="E50" i="5" s="1"/>
  <c r="I18" i="5"/>
  <c r="I17" i="5"/>
  <c r="H18" i="5"/>
  <c r="H17" i="5"/>
  <c r="H5" i="5"/>
  <c r="G38" i="5" s="1"/>
  <c r="I5" i="5"/>
  <c r="F38" i="5" s="1"/>
  <c r="J5" i="5"/>
  <c r="E38" i="5" s="1"/>
  <c r="K5" i="5"/>
  <c r="D38" i="5" s="1"/>
  <c r="L5" i="5"/>
  <c r="C38" i="5" s="1"/>
  <c r="H2" i="5"/>
  <c r="G37" i="5" s="1"/>
  <c r="I2" i="5"/>
  <c r="F37" i="5" s="1"/>
  <c r="J2" i="5"/>
  <c r="E37" i="5" s="1"/>
  <c r="K2" i="5"/>
  <c r="D37" i="5" s="1"/>
  <c r="L2" i="5"/>
  <c r="C37" i="5" s="1"/>
  <c r="D2" i="5"/>
  <c r="Q37" i="5" s="1"/>
  <c r="E2" i="5"/>
  <c r="P37" i="5" s="1"/>
  <c r="F2" i="5"/>
  <c r="L37" i="5" s="1"/>
  <c r="G2" i="5"/>
  <c r="K37" i="5" s="1"/>
  <c r="C2" i="5"/>
  <c r="R37" i="5" s="1"/>
  <c r="D5" i="5"/>
  <c r="Q38" i="5" s="1"/>
  <c r="E5" i="5"/>
  <c r="P38" i="5" s="1"/>
  <c r="F5" i="5"/>
  <c r="L38" i="5" s="1"/>
  <c r="G5" i="5"/>
  <c r="K38" i="5" s="1"/>
  <c r="C5" i="5"/>
  <c r="R38" i="5" s="1"/>
  <c r="G18" i="5"/>
  <c r="G17" i="5"/>
  <c r="F18" i="5"/>
  <c r="F17" i="5"/>
  <c r="E18" i="5"/>
  <c r="E17" i="5"/>
  <c r="D18" i="5"/>
  <c r="D17" i="5"/>
  <c r="C18" i="5"/>
  <c r="C17" i="5"/>
  <c r="H5" i="4"/>
  <c r="I5" i="4"/>
  <c r="J5" i="4"/>
  <c r="E28" i="4" s="1"/>
  <c r="K5" i="4"/>
  <c r="L5" i="4"/>
  <c r="G2" i="4"/>
  <c r="H2" i="4"/>
  <c r="I2" i="4"/>
  <c r="J2" i="4"/>
  <c r="E27" i="4" s="1"/>
  <c r="K2" i="4"/>
  <c r="L2" i="4"/>
  <c r="D2" i="4"/>
  <c r="E2" i="4"/>
  <c r="P27" i="4" s="1"/>
  <c r="F2" i="4"/>
  <c r="C2" i="4"/>
  <c r="D5" i="4"/>
  <c r="E5" i="4"/>
  <c r="P28" i="4" s="1"/>
  <c r="F5" i="4"/>
  <c r="G5" i="4"/>
  <c r="C5" i="4"/>
  <c r="L31" i="5"/>
  <c r="L30" i="5" s="1"/>
  <c r="L21" i="5" s="1"/>
  <c r="C56" i="5" s="1"/>
  <c r="K31" i="5"/>
  <c r="K30" i="5" s="1"/>
  <c r="K21" i="5" s="1"/>
  <c r="D56" i="5" s="1"/>
  <c r="J31" i="5"/>
  <c r="J30" i="5" s="1"/>
  <c r="J21" i="5" s="1"/>
  <c r="E56" i="5" s="1"/>
  <c r="I31" i="5"/>
  <c r="I30" i="5" s="1"/>
  <c r="I21" i="5" s="1"/>
  <c r="F56" i="5" s="1"/>
  <c r="H31" i="5"/>
  <c r="H30" i="5" s="1"/>
  <c r="H21" i="5" s="1"/>
  <c r="G56" i="5" s="1"/>
  <c r="G31" i="5"/>
  <c r="G30" i="5" s="1"/>
  <c r="G21" i="5" s="1"/>
  <c r="K56" i="5" s="1"/>
  <c r="F31" i="5"/>
  <c r="F30" i="5" s="1"/>
  <c r="F21" i="5" s="1"/>
  <c r="L56" i="5" s="1"/>
  <c r="E31" i="5"/>
  <c r="E30" i="5" s="1"/>
  <c r="E21" i="5" s="1"/>
  <c r="P56" i="5" s="1"/>
  <c r="D31" i="5"/>
  <c r="D30" i="5" s="1"/>
  <c r="D21" i="5" s="1"/>
  <c r="Q56" i="5" s="1"/>
  <c r="C31" i="5"/>
  <c r="C30" i="5" s="1"/>
  <c r="C21" i="5" s="1"/>
  <c r="R56" i="5" s="1"/>
  <c r="L27" i="5"/>
  <c r="L20" i="5" s="1"/>
  <c r="C55" i="5" s="1"/>
  <c r="K27" i="5"/>
  <c r="K20" i="5" s="1"/>
  <c r="D55" i="5" s="1"/>
  <c r="J27" i="5"/>
  <c r="J20" i="5" s="1"/>
  <c r="E55" i="5" s="1"/>
  <c r="I27" i="5"/>
  <c r="I20" i="5" s="1"/>
  <c r="F55" i="5" s="1"/>
  <c r="G27" i="5"/>
  <c r="G20" i="5" s="1"/>
  <c r="K55" i="5" s="1"/>
  <c r="F27" i="5"/>
  <c r="F20" i="5" s="1"/>
  <c r="L55" i="5" s="1"/>
  <c r="E27" i="5"/>
  <c r="E20" i="5" s="1"/>
  <c r="P55" i="5" s="1"/>
  <c r="D27" i="5"/>
  <c r="D20" i="5" s="1"/>
  <c r="Q55" i="5" s="1"/>
  <c r="C27" i="5"/>
  <c r="C20" i="5" s="1"/>
  <c r="R55" i="5" s="1"/>
  <c r="H27" i="5"/>
  <c r="H20" i="5" s="1"/>
  <c r="G55" i="5" s="1"/>
  <c r="L38" i="3"/>
  <c r="L37" i="3" s="1"/>
  <c r="L26" i="3" s="1"/>
  <c r="C63" i="3" s="1"/>
  <c r="K38" i="3"/>
  <c r="K37" i="3" s="1"/>
  <c r="K26" i="3" s="1"/>
  <c r="D63" i="3" s="1"/>
  <c r="J38" i="3"/>
  <c r="J37" i="3" s="1"/>
  <c r="J26" i="3" s="1"/>
  <c r="E63" i="3" s="1"/>
  <c r="I38" i="3"/>
  <c r="I37" i="3" s="1"/>
  <c r="I26" i="3" s="1"/>
  <c r="F63" i="3" s="1"/>
  <c r="H38" i="3"/>
  <c r="H37" i="3" s="1"/>
  <c r="H26" i="3" s="1"/>
  <c r="G63" i="3" s="1"/>
  <c r="G38" i="3"/>
  <c r="G37" i="3" s="1"/>
  <c r="G26" i="3" s="1"/>
  <c r="K63" i="3" s="1"/>
  <c r="F38" i="3"/>
  <c r="F37" i="3" s="1"/>
  <c r="F26" i="3" s="1"/>
  <c r="L63" i="3" s="1"/>
  <c r="E38" i="3"/>
  <c r="E37" i="3" s="1"/>
  <c r="E26" i="3" s="1"/>
  <c r="P63" i="3" s="1"/>
  <c r="D38" i="3"/>
  <c r="D37" i="3" s="1"/>
  <c r="D26" i="3" s="1"/>
  <c r="Q63" i="3" s="1"/>
  <c r="C38" i="3"/>
  <c r="C37" i="3" s="1"/>
  <c r="C26" i="3" s="1"/>
  <c r="R63" i="3" s="1"/>
  <c r="C33" i="3"/>
  <c r="C32" i="3" s="1"/>
  <c r="C25" i="3" s="1"/>
  <c r="R62" i="3" s="1"/>
  <c r="D33" i="3"/>
  <c r="D32" i="3" s="1"/>
  <c r="D25" i="3" s="1"/>
  <c r="Q62" i="3" s="1"/>
  <c r="F33" i="3"/>
  <c r="F32" i="3" s="1"/>
  <c r="F25" i="3" s="1"/>
  <c r="L62" i="3" s="1"/>
  <c r="G33" i="3"/>
  <c r="G32" i="3" s="1"/>
  <c r="G25" i="3" s="1"/>
  <c r="K62" i="3" s="1"/>
  <c r="H33" i="3"/>
  <c r="H32" i="3" s="1"/>
  <c r="H25" i="3" s="1"/>
  <c r="G62" i="3" s="1"/>
  <c r="I33" i="3"/>
  <c r="I32" i="3" s="1"/>
  <c r="I25" i="3" s="1"/>
  <c r="F62" i="3" s="1"/>
  <c r="J33" i="3"/>
  <c r="J32" i="3" s="1"/>
  <c r="J25" i="3" s="1"/>
  <c r="E62" i="3" s="1"/>
  <c r="K33" i="3"/>
  <c r="K32" i="3" s="1"/>
  <c r="K25" i="3" s="1"/>
  <c r="D62" i="3" s="1"/>
  <c r="L33" i="3"/>
  <c r="L32" i="3" s="1"/>
  <c r="L25" i="3" s="1"/>
  <c r="C62" i="3" s="1"/>
  <c r="E33" i="3"/>
  <c r="E32" i="3" s="1"/>
  <c r="E25" i="3" s="1"/>
  <c r="P62" i="3" s="1"/>
  <c r="J17" i="3"/>
  <c r="K17" i="3"/>
  <c r="L17" i="3"/>
  <c r="J20" i="3"/>
  <c r="E57" i="3" s="1"/>
  <c r="K20" i="3"/>
  <c r="D57" i="3" s="1"/>
  <c r="L20" i="3"/>
  <c r="C57" i="3" s="1"/>
  <c r="H20" i="3"/>
  <c r="G57" i="3" s="1"/>
  <c r="I20" i="3"/>
  <c r="F57" i="3" s="1"/>
  <c r="H17" i="3"/>
  <c r="I17" i="3"/>
  <c r="D17" i="3"/>
  <c r="E17" i="3"/>
  <c r="F17" i="3"/>
  <c r="C17" i="3"/>
  <c r="C20" i="3"/>
  <c r="R57" i="3" s="1"/>
  <c r="E20" i="3"/>
  <c r="P57" i="3" s="1"/>
  <c r="F20" i="3"/>
  <c r="L57" i="3" s="1"/>
  <c r="G20" i="3"/>
  <c r="K57" i="3" s="1"/>
  <c r="D20" i="3"/>
  <c r="Q57" i="3" s="1"/>
  <c r="G15" i="1"/>
  <c r="H15" i="1"/>
  <c r="I15" i="1"/>
  <c r="J15" i="1"/>
  <c r="E43" i="1" s="1"/>
  <c r="K15" i="1"/>
  <c r="L15" i="1"/>
  <c r="C15" i="1"/>
  <c r="D15" i="1"/>
  <c r="E15" i="1"/>
  <c r="F15" i="1"/>
  <c r="D21" i="1"/>
  <c r="Q49" i="1" s="1"/>
  <c r="E21" i="1"/>
  <c r="P48" i="1" s="1"/>
  <c r="F21" i="1"/>
  <c r="L48" i="1" s="1"/>
  <c r="G21" i="1"/>
  <c r="H21" i="1"/>
  <c r="G48" i="1" s="1"/>
  <c r="I21" i="1"/>
  <c r="J21" i="1"/>
  <c r="E48" i="1" s="1"/>
  <c r="K21" i="1"/>
  <c r="D49" i="1" s="1"/>
  <c r="L21" i="1"/>
  <c r="C49" i="1" s="1"/>
  <c r="C21" i="1"/>
  <c r="R48" i="1" s="1"/>
  <c r="N29" i="4" l="1"/>
  <c r="T33" i="4"/>
  <c r="N34" i="4"/>
  <c r="T38" i="4"/>
  <c r="M38" i="4"/>
  <c r="I39" i="4"/>
  <c r="N55" i="5"/>
  <c r="N49" i="5"/>
  <c r="K15" i="5"/>
  <c r="D50" i="5" s="1"/>
  <c r="H49" i="5"/>
  <c r="N56" i="5"/>
  <c r="G49" i="1"/>
  <c r="M33" i="4"/>
  <c r="H39" i="4"/>
  <c r="M40" i="4"/>
  <c r="H29" i="4"/>
  <c r="I34" i="4"/>
  <c r="N39" i="4"/>
  <c r="N45" i="4"/>
  <c r="T46" i="4"/>
  <c r="I45" i="4"/>
  <c r="M46" i="4"/>
  <c r="T40" i="4"/>
  <c r="I56" i="3"/>
  <c r="N37" i="5"/>
  <c r="N39" i="5"/>
  <c r="N44" i="5"/>
  <c r="I49" i="5"/>
  <c r="T49" i="5"/>
  <c r="T55" i="5"/>
  <c r="T37" i="5"/>
  <c r="N38" i="5"/>
  <c r="T39" i="5"/>
  <c r="N43" i="5"/>
  <c r="T44" i="5"/>
  <c r="N48" i="5"/>
  <c r="I37" i="5"/>
  <c r="I39" i="5"/>
  <c r="I44" i="5"/>
  <c r="I55" i="5"/>
  <c r="T38" i="5"/>
  <c r="T43" i="5"/>
  <c r="T48" i="5"/>
  <c r="T56" i="5"/>
  <c r="I38" i="5"/>
  <c r="I43" i="5"/>
  <c r="I48" i="5"/>
  <c r="I56" i="5"/>
  <c r="M57" i="3"/>
  <c r="M45" i="3"/>
  <c r="M50" i="3"/>
  <c r="M55" i="3"/>
  <c r="H56" i="3"/>
  <c r="M44" i="3"/>
  <c r="M46" i="3"/>
  <c r="M56" i="3"/>
  <c r="M62" i="3"/>
  <c r="M51" i="3"/>
  <c r="I44" i="3"/>
  <c r="I46" i="3"/>
  <c r="I51" i="3"/>
  <c r="I62" i="3"/>
  <c r="M63" i="3"/>
  <c r="N44" i="3"/>
  <c r="T45" i="3"/>
  <c r="N46" i="3"/>
  <c r="T50" i="3"/>
  <c r="N51" i="3"/>
  <c r="T55" i="3"/>
  <c r="N56" i="3"/>
  <c r="T57" i="3"/>
  <c r="N62" i="3"/>
  <c r="T63" i="3"/>
  <c r="I45" i="3"/>
  <c r="H50" i="3"/>
  <c r="I55" i="3"/>
  <c r="I57" i="3"/>
  <c r="I63" i="3"/>
  <c r="T44" i="3"/>
  <c r="N45" i="3"/>
  <c r="T46" i="3"/>
  <c r="N50" i="3"/>
  <c r="T51" i="3"/>
  <c r="N55" i="3"/>
  <c r="T56" i="3"/>
  <c r="N57" i="3"/>
  <c r="T62" i="3"/>
  <c r="N63" i="3"/>
  <c r="H37" i="5"/>
  <c r="M37" i="5"/>
  <c r="H38" i="5"/>
  <c r="M38" i="5"/>
  <c r="H39" i="5"/>
  <c r="M39" i="5"/>
  <c r="H43" i="5"/>
  <c r="M43" i="5"/>
  <c r="H44" i="5"/>
  <c r="M44" i="5"/>
  <c r="H48" i="5"/>
  <c r="M48" i="5"/>
  <c r="M49" i="5"/>
  <c r="H55" i="5"/>
  <c r="M55" i="5"/>
  <c r="H56" i="5"/>
  <c r="M56" i="5"/>
  <c r="S37" i="5"/>
  <c r="S38" i="5"/>
  <c r="S39" i="5"/>
  <c r="S43" i="5"/>
  <c r="S44" i="5"/>
  <c r="S48" i="5"/>
  <c r="S49" i="5"/>
  <c r="S55" i="5"/>
  <c r="S56" i="5"/>
  <c r="M29" i="4"/>
  <c r="H33" i="4"/>
  <c r="M34" i="4"/>
  <c r="I38" i="4"/>
  <c r="M39" i="4"/>
  <c r="I40" i="4"/>
  <c r="M45" i="4"/>
  <c r="I46" i="4"/>
  <c r="T29" i="4"/>
  <c r="N33" i="4"/>
  <c r="T34" i="4"/>
  <c r="N38" i="4"/>
  <c r="T39" i="4"/>
  <c r="N40" i="4"/>
  <c r="T45" i="4"/>
  <c r="N46" i="4"/>
  <c r="H34" i="4"/>
  <c r="H38" i="4"/>
  <c r="H40" i="4"/>
  <c r="H45" i="4"/>
  <c r="H46" i="4"/>
  <c r="I29" i="4"/>
  <c r="S29" i="4"/>
  <c r="I33" i="4"/>
  <c r="S33" i="4"/>
  <c r="S34" i="4"/>
  <c r="S38" i="4"/>
  <c r="S39" i="4"/>
  <c r="S40" i="4"/>
  <c r="S45" i="4"/>
  <c r="S46" i="4"/>
  <c r="H44" i="3"/>
  <c r="H45" i="3"/>
  <c r="H46" i="3"/>
  <c r="H51" i="3"/>
  <c r="H55" i="3"/>
  <c r="H57" i="3"/>
  <c r="H62" i="3"/>
  <c r="H63" i="3"/>
  <c r="S44" i="3"/>
  <c r="S45" i="3"/>
  <c r="S46" i="3"/>
  <c r="I50" i="3"/>
  <c r="S50" i="3"/>
  <c r="S51" i="3"/>
  <c r="S55" i="3"/>
  <c r="S56" i="3"/>
  <c r="S57" i="3"/>
  <c r="S62" i="3"/>
  <c r="S63" i="3"/>
  <c r="D55" i="1"/>
  <c r="K55" i="1"/>
  <c r="N55" i="1" s="1"/>
  <c r="R55" i="1"/>
  <c r="T55" i="1" s="1"/>
  <c r="E55" i="1"/>
  <c r="Q37" i="1"/>
  <c r="G37" i="1"/>
  <c r="L42" i="1"/>
  <c r="L38" i="1"/>
  <c r="P37" i="1"/>
  <c r="P42" i="1"/>
  <c r="R49" i="1"/>
  <c r="C38" i="1"/>
  <c r="E36" i="1"/>
  <c r="L36" i="1"/>
  <c r="M36" i="1" s="1"/>
  <c r="R38" i="1"/>
  <c r="K38" i="1"/>
  <c r="D38" i="1"/>
  <c r="L37" i="1"/>
  <c r="E37" i="1"/>
  <c r="D42" i="1"/>
  <c r="R43" i="1"/>
  <c r="E38" i="1"/>
  <c r="F37" i="1"/>
  <c r="R42" i="1"/>
  <c r="C37" i="1"/>
  <c r="F36" i="1"/>
  <c r="Q38" i="1"/>
  <c r="T38" i="1" s="1"/>
  <c r="R37" i="1"/>
  <c r="K37" i="1"/>
  <c r="G42" i="1"/>
  <c r="P49" i="1"/>
  <c r="L49" i="1"/>
  <c r="S48" i="1"/>
  <c r="T48" i="1"/>
  <c r="P47" i="1"/>
  <c r="F48" i="1"/>
  <c r="I48" i="1" s="1"/>
  <c r="K48" i="1"/>
  <c r="E49" i="1"/>
  <c r="F49" i="1"/>
  <c r="K49" i="1"/>
  <c r="C42" i="1"/>
  <c r="T36" i="1"/>
  <c r="S38" i="1"/>
  <c r="E42" i="1"/>
  <c r="C43" i="1"/>
  <c r="G43" i="1"/>
  <c r="L43" i="1"/>
  <c r="Q43" i="1"/>
  <c r="F43" i="1"/>
  <c r="K43" i="1"/>
  <c r="P43" i="1"/>
  <c r="F42" i="1"/>
  <c r="K42" i="1"/>
  <c r="D43" i="1"/>
  <c r="S36" i="1"/>
  <c r="H15" i="5"/>
  <c r="G50" i="5" s="1"/>
  <c r="I15" i="5"/>
  <c r="F50" i="5" s="1"/>
  <c r="G15" i="5"/>
  <c r="K50" i="5" s="1"/>
  <c r="C15" i="5"/>
  <c r="R50" i="5" s="1"/>
  <c r="D15" i="5"/>
  <c r="Q50" i="5" s="1"/>
  <c r="E15" i="5"/>
  <c r="P50" i="5" s="1"/>
  <c r="F15" i="5"/>
  <c r="L50" i="5" s="1"/>
  <c r="G17" i="3"/>
  <c r="T50" i="5" l="1"/>
  <c r="H50" i="5"/>
  <c r="M50" i="5"/>
  <c r="N50" i="5"/>
  <c r="S50" i="5"/>
  <c r="I50" i="5"/>
  <c r="M38" i="1"/>
  <c r="S55" i="1"/>
  <c r="H48" i="1"/>
  <c r="H55" i="1"/>
  <c r="M55" i="1"/>
  <c r="I55" i="1"/>
  <c r="N37" i="1"/>
  <c r="I37" i="1"/>
  <c r="M37" i="1"/>
  <c r="I36" i="1"/>
  <c r="N36" i="1"/>
  <c r="S37" i="1"/>
  <c r="T42" i="1"/>
  <c r="T49" i="1"/>
  <c r="H38" i="1"/>
  <c r="N38" i="1"/>
  <c r="H37" i="1"/>
  <c r="I49" i="1"/>
  <c r="I38" i="1"/>
  <c r="H36" i="1"/>
  <c r="H42" i="1"/>
  <c r="S42" i="1"/>
  <c r="T37" i="1"/>
  <c r="S49" i="1"/>
  <c r="H49" i="1"/>
  <c r="M49" i="1"/>
  <c r="N49" i="1"/>
  <c r="N48" i="1"/>
  <c r="M48" i="1"/>
  <c r="I42" i="1"/>
  <c r="S43" i="1"/>
  <c r="T43" i="1"/>
  <c r="M43" i="1"/>
  <c r="N43" i="1"/>
  <c r="H43" i="1"/>
  <c r="I43" i="1"/>
  <c r="N42" i="1"/>
  <c r="M42" i="1"/>
  <c r="D47" i="1" l="1"/>
  <c r="Q47" i="1"/>
  <c r="R47" i="1"/>
  <c r="F47" i="1"/>
  <c r="L47" i="1"/>
  <c r="C47" i="1"/>
  <c r="G47" i="1"/>
  <c r="K47" i="1"/>
  <c r="N47" i="1" l="1"/>
  <c r="I47" i="1"/>
  <c r="S47" i="1"/>
  <c r="H47" i="1"/>
  <c r="T47" i="1"/>
  <c r="M47" i="1"/>
  <c r="D27" i="4"/>
  <c r="Q27" i="4"/>
  <c r="G27" i="4"/>
  <c r="K27" i="4"/>
  <c r="F27" i="4"/>
  <c r="L27" i="4"/>
  <c r="C27" i="4"/>
  <c r="R27" i="4"/>
  <c r="M27" i="4" l="1"/>
  <c r="N27" i="4"/>
  <c r="T27" i="4"/>
  <c r="H27" i="4"/>
  <c r="S27" i="4"/>
  <c r="I27" i="4"/>
  <c r="R28" i="4"/>
  <c r="F28" i="4"/>
  <c r="L28" i="4"/>
  <c r="C28" i="4"/>
  <c r="G28" i="4"/>
  <c r="K28" i="4"/>
  <c r="D28" i="4"/>
  <c r="Q28" i="4"/>
  <c r="N28" i="4" l="1"/>
  <c r="T28" i="4"/>
  <c r="M28" i="4"/>
  <c r="S28" i="4"/>
  <c r="I28" i="4"/>
  <c r="H28" i="4"/>
  <c r="D54" i="1" l="1"/>
  <c r="Q54" i="1"/>
  <c r="G54" i="1"/>
  <c r="K54" i="1"/>
  <c r="F54" i="1"/>
  <c r="L54" i="1"/>
  <c r="R54" i="1"/>
  <c r="N54" i="1" l="1"/>
  <c r="H54" i="1"/>
  <c r="M54" i="1"/>
  <c r="T54" i="1"/>
  <c r="I54" i="1"/>
  <c r="S54" i="1"/>
  <c r="I53" i="1"/>
  <c r="H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tc={8A42962E-BD83-451E-8CE5-CE2D2C994664}</author>
    <author>tc={CC35C6EE-A737-4703-9AA5-784A5ED42890}</author>
    <author>tc={30376919-F2F9-4531-A37E-E0108015CDC9}</author>
    <author>tc={53885644-7A90-4267-A900-98403277FADB}</author>
    <author>tc={179D652B-419A-4DC6-B483-99AFEDF3CF55}</author>
  </authors>
  <commentList>
    <comment ref="D3" authorId="0" shapeId="0" xr:uid="{8A42962E-BD83-451E-8CE5-CE2D2C994664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2023-tól kezdve új eljárás szerint számoltak, a régi szerint 27,7% lenne</t>
      </text>
    </comment>
    <comment ref="B5" authorId="1" shapeId="0" xr:uid="{CC35C6EE-A737-4703-9AA5-784A5ED42890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Consolidated adjusted profit after tax</t>
      </text>
    </comment>
    <comment ref="D7" authorId="2" shapeId="0" xr:uid="{30376919-F2F9-4531-A37E-E0108015CDC9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2023-tól kezdve új eljárás szerint számoltak, a régi szerint 2,7% lenne</t>
      </text>
    </comment>
    <comment ref="B9" authorId="3" shapeId="0" xr:uid="{53885644-7A90-4267-A900-98403277FADB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Consolidated adjusted profit after tax</t>
      </text>
    </comment>
    <comment ref="D13" authorId="4" shapeId="0" xr:uid="{179D652B-419A-4DC6-B483-99AFEDF3CF55}">
      <text>
        <t xml:space="preserve"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2023-tól kezdve új eljárás szerint számoltak, a régi szerint 43,3% lenne
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tc={0B5FDFA4-CE44-47CF-A774-B82F270A0D84}</author>
    <author>tc={A33292B6-4216-4472-AE87-A023AE29307D}</author>
    <author>tc={63575B06-BD13-4EE4-801D-54882B98F1A6}</author>
    <author>tc={1F53E4B3-A218-4CF5-AB77-0700635116F6}</author>
  </authors>
  <commentList>
    <comment ref="B2" authorId="0" shapeId="0" xr:uid="{0B5FDFA4-CE44-47CF-A774-B82F270A0D84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Bank éves jelentésében szereplő adat, feltehetőleg éves átlagos értékkel számol.</t>
      </text>
    </comment>
    <comment ref="B6" authorId="1" shapeId="0" xr:uid="{A33292B6-4216-4472-AE87-A023AE29307D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Bank éves jelentésében szereplő adat, feltehetőleg éves átlagos értékkel számol.</t>
      </text>
    </comment>
    <comment ref="B10" authorId="2" shapeId="0" xr:uid="{63575B06-BD13-4EE4-801D-54882B98F1A6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Interest margin kifejezés alatt található</t>
      </text>
    </comment>
    <comment ref="B14" authorId="3" shapeId="0" xr:uid="{1F53E4B3-A218-4CF5-AB77-0700635116F6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„share of impaired exposures” kifejezés alatt található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tc={E2C868BD-52D2-43D1-83F6-4FCBEDDA8DED}</author>
    <author>tc={8033477B-4AE4-4159-8051-96BDFE93D486}</author>
    <author>tc={AABC243F-2EF6-4E1E-9BE7-B254E37AA35A}</author>
    <author>tc={927CDD90-8F38-4DAF-AA4B-F8261A79F040}</author>
    <author>tc={E4EFFE18-7DAE-4466-8EC1-3546BDFAFBA0}</author>
  </authors>
  <commentList>
    <comment ref="B2" authorId="0" shapeId="0" xr:uid="{E2C868BD-52D2-43D1-83F6-4FCBEDDA8DED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After tax</t>
      </text>
    </comment>
    <comment ref="B5" authorId="1" shapeId="0" xr:uid="{8033477B-4AE4-4159-8051-96BDFE93D486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Nem tartalmazza az éves jelentések</t>
      </text>
    </comment>
    <comment ref="B12" authorId="2" shapeId="0" xr:uid="{AABC243F-2EF6-4E1E-9BE7-B254E37AA35A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NPE rátát alkalmaz, közel hasonló mutató</t>
      </text>
    </comment>
    <comment ref="B37" authorId="3" shapeId="0" xr:uid="{927CDD90-8F38-4DAF-AA4B-F8261A79F040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Csak ROTE szerepel az éves jelentésekben</t>
      </text>
    </comment>
    <comment ref="B38" authorId="4" shapeId="0" xr:uid="{E4EFFE18-7DAE-4466-8EC1-3546BDFAFBA0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Nem szerepel az éves jelentésekben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tc={E3C84E9B-788A-4BDF-8DDB-EE600F26AF00}</author>
    <author>tc={D5213CE5-F02A-4D04-B475-A36369961C20}</author>
    <author>tc={7D490CE2-A811-48D5-918D-3376ED85814D}</author>
    <author>tc={C588038B-EBA8-4962-9AD4-41206894D0F8}</author>
    <author>tc={4E8F7AC8-E1B4-4DF4-87AB-69ADC4F15277}</author>
    <author>tc={199F74CD-B944-40EB-8DE2-51F85BD6EF3A}</author>
  </authors>
  <commentList>
    <comment ref="B2" authorId="0" shapeId="0" xr:uid="{E3C84E9B-788A-4BDF-8DDB-EE600F26AF00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Csak ROTE szerepel az éves jelentésekben</t>
      </text>
    </comment>
    <comment ref="B5" authorId="1" shapeId="0" xr:uid="{D5213CE5-F02A-4D04-B475-A36369961C20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Nem szerepel az éves jelentésekben</t>
      </text>
    </comment>
    <comment ref="J11" authorId="2" shapeId="0" xr:uid="{7D490CE2-A811-48D5-918D-3376ED85814D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2017-től vannak ezen adatok</t>
      </text>
    </comment>
    <comment ref="B15" authorId="3" shapeId="0" xr:uid="{C588038B-EBA8-4962-9AD4-41206894D0F8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Total Capital Ratio-név alatt találhtató</t>
      </text>
    </comment>
    <comment ref="B27" authorId="4" shapeId="0" xr:uid="{4E8F7AC8-E1B4-4DF4-87AB-69ADC4F15277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Csak ROTE szerepel az éves jelentésekben</t>
      </text>
    </comment>
    <comment ref="B28" authorId="5" shapeId="0" xr:uid="{199F74CD-B944-40EB-8DE2-51F85BD6EF3A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Nem szerepel az éves jelentésekben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tc={568D7097-FD24-41BF-A5BF-3264B3533EA7}</author>
  </authors>
  <commentList>
    <comment ref="B8" authorId="0" shapeId="0" xr:uid="{568D7097-FD24-41BF-A5BF-3264B3533EA7}">
      <text>
        <t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Non-performing loans ratio incl. cb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tc={5F58B65A-2A57-4B36-9A67-6BEB5BB46802}</author>
  </authors>
  <commentList>
    <comment ref="D2" authorId="0" shapeId="0" xr:uid="{5F58B65A-2A57-4B36-9A67-6BEB5BB46802}">
      <text>
        <t xml:space="preserve">[Témakörökbe rendezett megjegyzés]
Ebben az Excel-verzióban olvasni tudja ezt a témakörökbe rendezett megjegyzést, ha viszont újabb Excel-verzióban nyitja meg a fájlt, eltávolítjuk a módosításait a megjegyzésből. További információ: https://go.microsoft.com/fwlink/?linkid=870924
Megjegyzés:
    2023-tól kezdve új eljárás szerint számoltak, a régi szerint 43,3% lenne
</t>
      </text>
    </comment>
  </commentList>
</comments>
</file>

<file path=xl/sharedStrings.xml><?xml version="1.0" encoding="utf-8"?>
<sst xmlns="http://schemas.openxmlformats.org/spreadsheetml/2006/main" count="450" uniqueCount="82">
  <si>
    <t>ROE</t>
  </si>
  <si>
    <t>ROA</t>
  </si>
  <si>
    <t>NIM</t>
  </si>
  <si>
    <t>CIR</t>
  </si>
  <si>
    <t>NPL</t>
  </si>
  <si>
    <t>CAR</t>
  </si>
  <si>
    <t>Total Loans</t>
  </si>
  <si>
    <t>Total Deposits</t>
  </si>
  <si>
    <t>Return on Equity</t>
  </si>
  <si>
    <t>Return on Assets</t>
  </si>
  <si>
    <t>Net Interest Margin</t>
  </si>
  <si>
    <t>Cost-to-Income Ratio</t>
  </si>
  <si>
    <t>Non-Performing Loans</t>
  </si>
  <si>
    <t>Capital Adequacy Ratio</t>
  </si>
  <si>
    <t>Loan-to-Deposit ratio</t>
  </si>
  <si>
    <t>ROE (adjusted)</t>
  </si>
  <si>
    <t>mFt</t>
  </si>
  <si>
    <t>Gross LTD</t>
  </si>
  <si>
    <t>P/E ratio</t>
  </si>
  <si>
    <t>P/B ratio</t>
  </si>
  <si>
    <t>LCR</t>
  </si>
  <si>
    <t>P/E ratio (adjusted)</t>
  </si>
  <si>
    <t>Performing Loans</t>
  </si>
  <si>
    <t>Price/Earnings</t>
  </si>
  <si>
    <t>Price/Book Value</t>
  </si>
  <si>
    <t>Liquidity Coverage Ratio (2018-tól</t>
  </si>
  <si>
    <t>PLN million</t>
  </si>
  <si>
    <t>EPS</t>
  </si>
  <si>
    <t xml:space="preserve">number of shares </t>
  </si>
  <si>
    <t>net profit/loss</t>
  </si>
  <si>
    <t>egy részvényre jutó könyv szerinti érték</t>
  </si>
  <si>
    <t>Total equity</t>
  </si>
  <si>
    <t>Total assets</t>
  </si>
  <si>
    <t>Net Result</t>
  </si>
  <si>
    <t>million</t>
  </si>
  <si>
    <t>adatok:</t>
  </si>
  <si>
    <t>https://www.bankingsupervision.europa.eu/framework/statistics/html/index.en.html</t>
  </si>
  <si>
    <t>Significant institutions</t>
  </si>
  <si>
    <t>universal and investment banks</t>
  </si>
  <si>
    <t>CAGR:</t>
  </si>
  <si>
    <t>Share price at the end of the year (Ft)</t>
  </si>
  <si>
    <t>ROE:</t>
  </si>
  <si>
    <t>OTP Bank</t>
  </si>
  <si>
    <t>PKO Bank</t>
  </si>
  <si>
    <t>Erste Bank</t>
  </si>
  <si>
    <t>Raiffeisen</t>
  </si>
  <si>
    <t>Eurózóna benchmarck érték</t>
  </si>
  <si>
    <t>ROA:</t>
  </si>
  <si>
    <t>NIM:</t>
  </si>
  <si>
    <t>CIR:</t>
  </si>
  <si>
    <t>NPL:</t>
  </si>
  <si>
    <t>CAR:</t>
  </si>
  <si>
    <t>LCR:</t>
  </si>
  <si>
    <t>LTD:</t>
  </si>
  <si>
    <t>-</t>
  </si>
  <si>
    <t>P/E ráta</t>
  </si>
  <si>
    <t>P/B ráta</t>
  </si>
  <si>
    <t xml:space="preserve">CAGR </t>
  </si>
  <si>
    <t>2015-től 2019-ig</t>
  </si>
  <si>
    <t>2020-tól 2021-ig</t>
  </si>
  <si>
    <t>2022-től 2024-ig</t>
  </si>
  <si>
    <t>2015-től 2024-ig</t>
  </si>
  <si>
    <t>ROE (saját számolás)</t>
  </si>
  <si>
    <t>ROA (saját számolás)</t>
  </si>
  <si>
    <t>Átlag</t>
  </si>
  <si>
    <t>Szórás</t>
  </si>
  <si>
    <t>Min</t>
  </si>
  <si>
    <t>Max</t>
  </si>
  <si>
    <t>2015-2019</t>
  </si>
  <si>
    <t>2020-2021</t>
  </si>
  <si>
    <t>2022-2024</t>
  </si>
  <si>
    <t>S</t>
  </si>
  <si>
    <t>OTP</t>
  </si>
  <si>
    <t>PKO</t>
  </si>
  <si>
    <t>Erste</t>
  </si>
  <si>
    <t>Customers in 2024 (million)</t>
  </si>
  <si>
    <t>Exchange rate in 31.12.2024</t>
  </si>
  <si>
    <t>Total assets (million)</t>
  </si>
  <si>
    <t>Total assets in 2024 in € (million)</t>
  </si>
  <si>
    <t>Share price at the end of the year (EUR)</t>
  </si>
  <si>
    <t>Részvényár az adott év végén</t>
  </si>
  <si>
    <t>OTP részvényárfolyama évente átlagosan 18.99%-kal nőtt 10 év alatt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</si>
</sst>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0.0%"/>
    <numFmt numFmtId="167" formatCode="_-* #,##0.0000_-;\-* #,##0.00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2" xfId="0" applyBorder="1"/>
    <xf numFmtId="0" fontId="0" fillId="0" borderId="4" xfId="0" applyBorder="1"/>
    <xf numFmtId="0" fontId="6" fillId="0" borderId="0" xfId="0" applyFont="1"/>
    <xf numFmtId="0" fontId="5" fillId="0" borderId="2" xfId="0" applyFont="1" applyBorder="1"/>
    <xf numFmtId="0" fontId="5" fillId="0" borderId="0" xfId="0" applyFont="1"/>
    <xf numFmtId="0" fontId="5" fillId="0" borderId="3" xfId="0" applyFont="1" applyBorder="1"/>
    <xf numFmtId="164" fontId="0" fillId="0" borderId="0" xfId="1" applyNumberFormat="1" applyFont="1"/>
    <xf numFmtId="0" fontId="6" fillId="0" borderId="3" xfId="0" applyFont="1" applyBorder="1"/>
    <xf numFmtId="10" fontId="6" fillId="0" borderId="0" xfId="2" applyNumberFormat="1" applyFont="1"/>
    <xf numFmtId="0" fontId="6" fillId="0" borderId="2" xfId="0" applyFont="1" applyBorder="1"/>
    <xf numFmtId="0" fontId="7" fillId="0" borderId="0" xfId="0" applyFont="1"/>
    <xf numFmtId="10" fontId="5" fillId="0" borderId="0" xfId="2" applyNumberFormat="1" applyFont="1"/>
    <xf numFmtId="0" fontId="5" fillId="0" borderId="4" xfId="0" applyFont="1" applyBorder="1"/>
    <xf numFmtId="9" fontId="5" fillId="0" borderId="0" xfId="2" applyFont="1"/>
    <xf numFmtId="0" fontId="5" fillId="0" borderId="1" xfId="0" applyFont="1" applyBorder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5" fontId="6" fillId="0" borderId="0" xfId="0" applyNumberFormat="1" applyFont="1"/>
    <xf numFmtId="43" fontId="6" fillId="0" borderId="0" xfId="1" applyFont="1"/>
    <xf numFmtId="164" fontId="6" fillId="0" borderId="0" xfId="1" applyNumberFormat="1" applyFont="1"/>
    <xf numFmtId="2" fontId="5" fillId="0" borderId="0" xfId="0" applyNumberFormat="1" applyFont="1"/>
    <xf numFmtId="0" fontId="0" fillId="0" borderId="0" xfId="0" applyAlignment="1">
      <alignment horizontal="right"/>
    </xf>
    <xf numFmtId="2" fontId="0" fillId="0" borderId="0" xfId="0" applyNumberFormat="1"/>
    <xf numFmtId="0" fontId="0" fillId="0" borderId="3" xfId="0" applyBorder="1"/>
    <xf numFmtId="0" fontId="0" fillId="0" borderId="3" xfId="0" applyBorder="1" applyAlignment="1">
      <alignment horizontal="right"/>
    </xf>
    <xf numFmtId="166" fontId="5" fillId="0" borderId="0" xfId="2" applyNumberFormat="1" applyFont="1"/>
    <xf numFmtId="164" fontId="5" fillId="0" borderId="0" xfId="2" applyNumberFormat="1" applyFont="1"/>
    <xf numFmtId="0" fontId="3" fillId="0" borderId="3" xfId="0" applyFont="1" applyBorder="1"/>
    <xf numFmtId="10" fontId="7" fillId="0" borderId="0" xfId="2" applyNumberFormat="1" applyFont="1"/>
    <xf numFmtId="164" fontId="3" fillId="0" borderId="0" xfId="1" applyNumberFormat="1" applyFont="1"/>
    <xf numFmtId="0" fontId="5" fillId="0" borderId="0" xfId="0" applyFont="1" applyAlignment="1">
      <alignment horizontal="right"/>
    </xf>
    <xf numFmtId="9" fontId="6" fillId="0" borderId="0" xfId="2" applyFont="1"/>
    <xf numFmtId="166" fontId="6" fillId="0" borderId="0" xfId="2" applyNumberFormat="1" applyFont="1"/>
    <xf numFmtId="10" fontId="5" fillId="0" borderId="8" xfId="2" applyNumberFormat="1" applyFont="1" applyBorder="1"/>
    <xf numFmtId="10" fontId="5" fillId="0" borderId="9" xfId="2" applyNumberFormat="1" applyFont="1" applyBorder="1"/>
    <xf numFmtId="10" fontId="7" fillId="0" borderId="0" xfId="2" applyNumberFormat="1" applyFont="1" applyBorder="1"/>
    <xf numFmtId="10" fontId="7" fillId="0" borderId="11" xfId="2" applyNumberFormat="1" applyFont="1" applyBorder="1"/>
    <xf numFmtId="0" fontId="0" fillId="0" borderId="14" xfId="0" applyBorder="1"/>
    <xf numFmtId="10" fontId="5" fillId="0" borderId="15" xfId="2" applyNumberFormat="1" applyFont="1" applyBorder="1"/>
    <xf numFmtId="10" fontId="7" fillId="0" borderId="10" xfId="2" applyNumberFormat="1" applyFont="1" applyBorder="1"/>
    <xf numFmtId="10" fontId="7" fillId="0" borderId="12" xfId="2" applyNumberFormat="1" applyFont="1" applyBorder="1"/>
    <xf numFmtId="10" fontId="7" fillId="0" borderId="13" xfId="2" applyNumberFormat="1" applyFont="1" applyBorder="1"/>
    <xf numFmtId="10" fontId="7" fillId="0" borderId="14" xfId="2" applyNumberFormat="1" applyFont="1" applyBorder="1"/>
    <xf numFmtId="10" fontId="5" fillId="0" borderId="10" xfId="2" applyNumberFormat="1" applyFont="1" applyBorder="1"/>
    <xf numFmtId="10" fontId="5" fillId="0" borderId="0" xfId="2" applyNumberFormat="1" applyFont="1" applyBorder="1"/>
    <xf numFmtId="10" fontId="5" fillId="0" borderId="11" xfId="2" applyNumberFormat="1" applyFont="1" applyBorder="1"/>
    <xf numFmtId="10" fontId="5" fillId="0" borderId="12" xfId="2" applyNumberFormat="1" applyFont="1" applyBorder="1"/>
    <xf numFmtId="10" fontId="5" fillId="0" borderId="13" xfId="2" applyNumberFormat="1" applyFont="1" applyBorder="1"/>
    <xf numFmtId="10" fontId="5" fillId="0" borderId="14" xfId="2" applyNumberFormat="1" applyFont="1" applyBorder="1"/>
    <xf numFmtId="0" fontId="6" fillId="0" borderId="4" xfId="0" applyFont="1" applyBorder="1"/>
    <xf numFmtId="0" fontId="2" fillId="0" borderId="2" xfId="0" applyFont="1" applyBorder="1"/>
    <xf numFmtId="166" fontId="5" fillId="0" borderId="10" xfId="2" applyNumberFormat="1" applyFont="1" applyBorder="1"/>
    <xf numFmtId="166" fontId="5" fillId="0" borderId="0" xfId="2" applyNumberFormat="1" applyFont="1" applyBorder="1"/>
    <xf numFmtId="166" fontId="5" fillId="0" borderId="11" xfId="2" applyNumberFormat="1" applyFont="1" applyBorder="1"/>
    <xf numFmtId="43" fontId="5" fillId="0" borderId="10" xfId="1" applyFont="1" applyBorder="1"/>
    <xf numFmtId="43" fontId="5" fillId="0" borderId="0" xfId="1" applyFont="1" applyBorder="1"/>
    <xf numFmtId="43" fontId="5" fillId="0" borderId="11" xfId="1" applyFont="1" applyBorder="1"/>
    <xf numFmtId="43" fontId="5" fillId="0" borderId="12" xfId="1" applyFont="1" applyBorder="1"/>
    <xf numFmtId="43" fontId="5" fillId="0" borderId="13" xfId="1" applyFont="1" applyBorder="1"/>
    <xf numFmtId="43" fontId="5" fillId="0" borderId="14" xfId="1" applyFont="1" applyBorder="1"/>
    <xf numFmtId="43" fontId="5" fillId="0" borderId="15" xfId="1" applyFont="1" applyBorder="1"/>
    <xf numFmtId="43" fontId="5" fillId="0" borderId="8" xfId="1" applyFont="1" applyBorder="1"/>
    <xf numFmtId="43" fontId="5" fillId="0" borderId="9" xfId="1" applyFont="1" applyBorder="1"/>
    <xf numFmtId="10" fontId="5" fillId="0" borderId="9" xfId="0" applyNumberFormat="1" applyFont="1" applyBorder="1"/>
    <xf numFmtId="10" fontId="5" fillId="0" borderId="11" xfId="0" applyNumberFormat="1" applyFont="1" applyBorder="1"/>
    <xf numFmtId="10" fontId="0" fillId="0" borderId="0" xfId="0" applyNumberFormat="1"/>
    <xf numFmtId="10" fontId="0" fillId="0" borderId="1" xfId="0" applyNumberFormat="1" applyBorder="1"/>
    <xf numFmtId="0" fontId="5" fillId="0" borderId="1" xfId="0" applyFont="1" applyBorder="1" applyAlignment="1">
      <alignment horizontal="center" vertical="center"/>
    </xf>
    <xf numFmtId="10" fontId="0" fillId="0" borderId="1" xfId="2" applyNumberFormat="1" applyFont="1" applyBorder="1"/>
    <xf numFmtId="10" fontId="0" fillId="0" borderId="0" xfId="2" applyNumberFormat="1" applyFont="1"/>
    <xf numFmtId="43" fontId="0" fillId="0" borderId="1" xfId="1" applyFont="1" applyBorder="1"/>
    <xf numFmtId="10" fontId="0" fillId="0" borderId="5" xfId="0" applyNumberFormat="1" applyBorder="1"/>
    <xf numFmtId="10" fontId="0" fillId="0" borderId="7" xfId="2" applyNumberFormat="1" applyFont="1" applyBorder="1"/>
    <xf numFmtId="0" fontId="5" fillId="0" borderId="0" xfId="0" applyFont="1" applyAlignment="1">
      <alignment horizontal="center" vertical="center"/>
    </xf>
    <xf numFmtId="10" fontId="0" fillId="0" borderId="7" xfId="0" applyNumberFormat="1" applyBorder="1"/>
    <xf numFmtId="0" fontId="5" fillId="0" borderId="16" xfId="0" applyFont="1" applyBorder="1" applyAlignment="1">
      <alignment horizontal="center" vertical="center"/>
    </xf>
    <xf numFmtId="10" fontId="0" fillId="0" borderId="16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43" fontId="0" fillId="0" borderId="0" xfId="1" applyFont="1"/>
    <xf numFmtId="0" fontId="1" fillId="0" borderId="2" xfId="0" applyFont="1" applyBorder="1"/>
    <xf numFmtId="0" fontId="1" fillId="0" borderId="3" xfId="0" applyFont="1" applyBorder="1"/>
    <xf numFmtId="43" fontId="5" fillId="0" borderId="0" xfId="1" applyFont="1"/>
    <xf numFmtId="0" fontId="9" fillId="0" borderId="0" xfId="3"/>
    <xf numFmtId="43" fontId="0" fillId="0" borderId="5" xfId="1" applyFont="1" applyBorder="1"/>
    <xf numFmtId="43" fontId="0" fillId="0" borderId="16" xfId="1" applyFont="1" applyBorder="1"/>
    <xf numFmtId="43" fontId="0" fillId="0" borderId="7" xfId="1" applyFont="1" applyBorder="1"/>
    <xf numFmtId="0" fontId="5" fillId="0" borderId="1" xfId="0" applyFont="1" applyBorder="1" applyAlignment="1">
      <alignment horizontal="center"/>
    </xf>
    <xf numFmtId="164" fontId="0" fillId="0" borderId="1" xfId="1" applyNumberFormat="1" applyFont="1" applyBorder="1"/>
    <xf numFmtId="167" fontId="0" fillId="0" borderId="1" xfId="1" applyNumberFormat="1" applyFont="1" applyBorder="1"/>
    <xf numFmtId="9" fontId="0" fillId="0" borderId="0" xfId="2" applyFont="1"/>
    <xf numFmtId="1" fontId="0" fillId="0" borderId="1" xfId="0" applyNumberFormat="1" applyBorder="1"/>
    <xf numFmtId="1" fontId="0" fillId="0" borderId="0" xfId="0" applyNumberFormat="1"/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center"/>
    </xf>
    <xf numFmtId="1" fontId="6" fillId="0" borderId="1" xfId="1" applyNumberFormat="1" applyFont="1" applyBorder="1"/>
    <xf numFmtId="43" fontId="6" fillId="0" borderId="1" xfId="1" applyFont="1" applyBorder="1"/>
    <xf numFmtId="10" fontId="5" fillId="0" borderId="0" xfId="2" applyNumberFormat="1" applyFont="1" applyAlignment="1">
      <alignment horizontal="center"/>
    </xf>
    <xf numFmtId="49" fontId="5" fillId="0" borderId="15" xfId="2" applyNumberFormat="1" applyFont="1" applyBorder="1" applyAlignment="1">
      <alignment horizontal="center"/>
    </xf>
    <xf numFmtId="49" fontId="5" fillId="0" borderId="8" xfId="2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0" fontId="5" fillId="0" borderId="10" xfId="2" applyNumberFormat="1" applyFont="1" applyBorder="1" applyAlignment="1">
      <alignment horizontal="center"/>
    </xf>
    <xf numFmtId="10" fontId="5" fillId="0" borderId="0" xfId="2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0" fontId="5" fillId="0" borderId="15" xfId="2" applyNumberFormat="1" applyFont="1" applyBorder="1" applyAlignment="1">
      <alignment horizontal="center"/>
    </xf>
    <xf numFmtId="10" fontId="5" fillId="0" borderId="8" xfId="2" applyNumberFormat="1" applyFont="1" applyBorder="1" applyAlignment="1">
      <alignment horizontal="center"/>
    </xf>
    <xf numFmtId="10" fontId="5" fillId="0" borderId="8" xfId="0" applyNumberFormat="1" applyFont="1" applyBorder="1" applyAlignment="1">
      <alignment horizontal="center"/>
    </xf>
    <xf numFmtId="10" fontId="5" fillId="0" borderId="12" xfId="2" applyNumberFormat="1" applyFont="1" applyBorder="1" applyAlignment="1">
      <alignment horizontal="center"/>
    </xf>
    <xf numFmtId="10" fontId="5" fillId="0" borderId="13" xfId="2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" xfId="0" applyBorder="1" applyAlignment="1">
      <alignment horizontal="right" wrapText="1"/>
    </xf>
  </cellXfs>
  <cellStyles count="4">
    <cellStyle name="Ezres" xfId="1" builtinId="3"/>
    <cellStyle name="Hivatkozás" xfId="3" builtinId="8"/>
    <cellStyle name="Normál" xfId="0" builtinId="0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Ügyfélszám alakulása 2024-ben (millió fő)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Méret!$B$1</c:f>
              <c:strCache>
                <c:ptCount val="1"/>
                <c:pt idx="0">
                  <c:v>Customers in 2024 (million)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B9-4F8F-9DEE-6D43C3846D62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EB9-4F8F-9DEE-6D43C3846D6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EB9-4F8F-9DEE-6D43C3846D6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EB9-4F8F-9DEE-6D43C3846D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Méret!$A$2:$A$5</c:f>
              <c:strCache>
                <c:ptCount val="4"/>
                <c:pt idx="0">
                  <c:v>OTP</c:v>
                </c:pt>
                <c:pt idx="1">
                  <c:v>PKO</c:v>
                </c:pt>
                <c:pt idx="2">
                  <c:v>Erste</c:v>
                </c:pt>
                <c:pt idx="3">
                  <c:v>Raiffeisen</c:v>
                </c:pt>
              </c:strCache>
            </c:strRef>
          </c:cat>
          <c:val>
            <c:numRef>
              <c:f>Méret!$B$2:$B$5</c:f>
              <c:numCache>
                <c:formatCode>General</c:formatCode>
                <c:ptCount val="4"/>
                <c:pt idx="0">
                  <c:v>17</c:v>
                </c:pt>
                <c:pt idx="1">
                  <c:v>9.2789999999999999</c:v>
                </c:pt>
                <c:pt idx="2">
                  <c:v>16.600000000000001</c:v>
                </c:pt>
                <c:pt idx="3">
                  <c:v>17.899999999999999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B9-4F8F-9DEE-6D43C3846D6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11754256"/>
        <c:axId val="1011777776"/>
      </c:barChart>
      <c:catAx>
        <c:axId val="101175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011777776"/>
        <c:crosses val="autoZero"/>
        <c:auto val="1"/>
        <c:lblAlgn val="ctr"/>
        <c:lblOffset val="100"/>
        <c:noMultiLvlLbl val="0"/>
      </c:catAx>
      <c:valAx>
        <c:axId val="101177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011754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400" b="0" i="0" u="none" strike="noStrike" baseline="0"/>
              <a:t>A kiválasztott bankok hitel / betét (LTD) mutató trendje 2015 és 2024 között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Likviditás!$B$16</c:f>
              <c:strCache>
                <c:ptCount val="1"/>
                <c:pt idx="0">
                  <c:v>OTP Bank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Likviditás!$C$15:$L$15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Likviditás!$C$16:$L$16</c:f>
              <c:numCache>
                <c:formatCode>0.00%</c:formatCode>
                <c:ptCount val="10"/>
                <c:pt idx="0">
                  <c:v>0.76847051665078814</c:v>
                </c:pt>
                <c:pt idx="1">
                  <c:v>0.72880158421741481</c:v>
                </c:pt>
                <c:pt idx="2">
                  <c:v>0.77985271631583952</c:v>
                </c:pt>
                <c:pt idx="3">
                  <c:v>0.79422149636257633</c:v>
                </c:pt>
                <c:pt idx="4">
                  <c:v>0.802967382622498</c:v>
                </c:pt>
                <c:pt idx="5">
                  <c:v>0.83670128019269152</c:v>
                </c:pt>
                <c:pt idx="6">
                  <c:v>0.77953212018972218</c:v>
                </c:pt>
                <c:pt idx="7">
                  <c:v>0.75074346979271001</c:v>
                </c:pt>
                <c:pt idx="8">
                  <c:v>0.77967291382902482</c:v>
                </c:pt>
                <c:pt idx="9">
                  <c:v>0.80783720757815625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32-4C90-A7E9-0EF58AED2E2F}"/>
            </c:ext>
          </c:extLst>
        </c:ser>
        <c:ser>
          <c:idx val="1"/>
          <c:order val="1"/>
          <c:tx>
            <c:strRef>
              <c:f>Likviditás!$B$17</c:f>
              <c:strCache>
                <c:ptCount val="1"/>
                <c:pt idx="0">
                  <c:v>PKO Bank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Likviditás!$C$15:$L$15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Likviditás!$C$17:$L$17</c:f>
              <c:numCache>
                <c:formatCode>0.00%</c:formatCode>
                <c:ptCount val="10"/>
                <c:pt idx="0">
                  <c:v>0.68196046481711758</c:v>
                </c:pt>
                <c:pt idx="1">
                  <c:v>0.65862377346296153</c:v>
                </c:pt>
                <c:pt idx="2">
                  <c:v>0.73072405774519877</c:v>
                </c:pt>
                <c:pt idx="3">
                  <c:v>0.76815101645692163</c:v>
                </c:pt>
                <c:pt idx="4">
                  <c:v>0.83485741404468117</c:v>
                </c:pt>
                <c:pt idx="5">
                  <c:v>0.95281648905024008</c:v>
                </c:pt>
                <c:pt idx="6">
                  <c:v>0.96529450450941046</c:v>
                </c:pt>
                <c:pt idx="7">
                  <c:v>0.98644768207044442</c:v>
                </c:pt>
                <c:pt idx="8">
                  <c:v>1.042828486457356</c:v>
                </c:pt>
                <c:pt idx="9">
                  <c:v>1.0221146043297296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32-4C90-A7E9-0EF58AED2E2F}"/>
            </c:ext>
          </c:extLst>
        </c:ser>
        <c:ser>
          <c:idx val="2"/>
          <c:order val="2"/>
          <c:tx>
            <c:strRef>
              <c:f>Likviditás!$B$18</c:f>
              <c:strCache>
                <c:ptCount val="1"/>
                <c:pt idx="0">
                  <c:v>Erste Bank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Likviditás!$C$15:$L$15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Likviditás!$C$18:$L$18</c:f>
              <c:numCache>
                <c:formatCode>0.0%</c:formatCode>
                <c:ptCount val="10"/>
                <c:pt idx="0">
                  <c:v>0.90200000000000002</c:v>
                </c:pt>
                <c:pt idx="1">
                  <c:v>0.89300000000000002</c:v>
                </c:pt>
                <c:pt idx="2">
                  <c:v>0.90200000000000002</c:v>
                </c:pt>
                <c:pt idx="3">
                  <c:v>0.85599999999999998</c:v>
                </c:pt>
                <c:pt idx="4">
                  <c:v>0.86899999999999999</c:v>
                </c:pt>
                <c:pt idx="5">
                  <c:v>0.92200000000000004</c:v>
                </c:pt>
                <c:pt idx="6">
                  <c:v>0.91800000000000004</c:v>
                </c:pt>
                <c:pt idx="7">
                  <c:v>0.92400000000000004</c:v>
                </c:pt>
                <c:pt idx="8">
                  <c:v>0.94699999999999995</c:v>
                </c:pt>
                <c:pt idx="9">
                  <c:v>0.98399999999999999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32-4C90-A7E9-0EF58AED2E2F}"/>
            </c:ext>
          </c:extLst>
        </c:ser>
        <c:ser>
          <c:idx val="3"/>
          <c:order val="3"/>
          <c:tx>
            <c:strRef>
              <c:f>Likviditás!$B$19</c:f>
              <c:strCache>
                <c:ptCount val="1"/>
                <c:pt idx="0">
                  <c:v>Raiffeisen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Likviditás!$C$15:$L$15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Likviditás!$C$19:$L$19</c:f>
              <c:numCache>
                <c:formatCode>0.00%</c:formatCode>
                <c:ptCount val="10"/>
                <c:pt idx="0">
                  <c:v>0.83568769007759425</c:v>
                </c:pt>
                <c:pt idx="1">
                  <c:v>0.78453851282157017</c:v>
                </c:pt>
                <c:pt idx="2">
                  <c:v>0.7493133425727605</c:v>
                </c:pt>
                <c:pt idx="3">
                  <c:v>0.78433493589743586</c:v>
                </c:pt>
                <c:pt idx="4">
                  <c:v>0.78199081023827843</c:v>
                </c:pt>
                <c:pt idx="5">
                  <c:v>0.839911200874638</c:v>
                </c:pt>
                <c:pt idx="6">
                  <c:v>0.81846187104793822</c:v>
                </c:pt>
                <c:pt idx="7">
                  <c:v>0.82426037707727851</c:v>
                </c:pt>
                <c:pt idx="8">
                  <c:v>0.95329207862104937</c:v>
                </c:pt>
                <c:pt idx="9">
                  <c:v>0.94608716026241801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32-4C90-A7E9-0EF58AED2E2F}"/>
            </c:ext>
          </c:extLst>
        </c:ser>
        <c:ser>
          <c:idx val="4"/>
          <c:order val="4"/>
          <c:tx>
            <c:strRef>
              <c:f>Likviditás!$B$20</c:f>
              <c:strCache>
                <c:ptCount val="1"/>
                <c:pt idx="0">
                  <c:v>Eurózóna benchmarck érték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Likviditás!$C$15:$L$15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Likviditás!$C$20:$L$20</c:f>
              <c:numCache>
                <c:formatCode>0.00%</c:formatCode>
                <c:ptCount val="10"/>
                <c:pt idx="0">
                  <c:v>1.016</c:v>
                </c:pt>
                <c:pt idx="1">
                  <c:v>1.0386</c:v>
                </c:pt>
                <c:pt idx="2">
                  <c:v>1.0884</c:v>
                </c:pt>
                <c:pt idx="3">
                  <c:v>1.1175999999999999</c:v>
                </c:pt>
                <c:pt idx="4">
                  <c:v>1.1318999999999999</c:v>
                </c:pt>
                <c:pt idx="5">
                  <c:v>1.2275</c:v>
                </c:pt>
                <c:pt idx="6">
                  <c:v>1.2554000000000001</c:v>
                </c:pt>
                <c:pt idx="7">
                  <c:v>1.2163999999999999</c:v>
                </c:pt>
                <c:pt idx="8">
                  <c:v>1.2274</c:v>
                </c:pt>
                <c:pt idx="9">
                  <c:v>1.2508999999999999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32-4C90-A7E9-0EF58AED2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87823"/>
        <c:axId val="1438777743"/>
      </c:lineChart>
      <c:catAx>
        <c:axId val="1438787823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Évek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7743"/>
        <c:crosses val="autoZero"/>
        <c:auto val="1"/>
        <c:lblAlgn val="ctr"/>
        <c:lblOffset val="100"/>
        <c:noMultiLvlLbl val="0"/>
      </c:catAx>
      <c:valAx>
        <c:axId val="1438777743"/>
        <c:scaling>
          <c:orientation val="minMax"/>
          <c:min val="0.60000000000000009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0" i="0" u="none" strike="noStrike" baseline="0"/>
                  <a:t>Hitel / Betét mutató (LTD, %)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400" b="0" i="0" u="none" strike="noStrike" baseline="0"/>
              <a:t>A kiválasztott bankok részvény árfolyam/nyereség ((Price-to-Earnings ratio, P/E) mutató trendje 2015 és 2024 között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Tőzsde!$B$2</c:f>
              <c:strCache>
                <c:ptCount val="1"/>
                <c:pt idx="0">
                  <c:v>OTP Bank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Tőzsde!$C$1:$L$1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Tőzsde!$C$2:$L$2</c:f>
              <c:numCache>
                <c:formatCode>_(* #,##0.00_);_(* \(#,##0.00\);_(* "-"??_);_(@_)</c:formatCode>
                <c:ptCount val="10"/>
                <c:pt idx="0">
                  <c:v>5.6</c:v>
                </c:pt>
                <c:pt idx="1">
                  <c:v>4.5</c:v>
                </c:pt>
                <c:pt idx="2">
                  <c:v>8.1999999999999993</c:v>
                </c:pt>
                <c:pt idx="3">
                  <c:v>10.199999999999999</c:v>
                </c:pt>
                <c:pt idx="4">
                  <c:v>14.4</c:v>
                </c:pt>
                <c:pt idx="5">
                  <c:v>10.5</c:v>
                </c:pt>
                <c:pt idx="6">
                  <c:v>9.9</c:v>
                </c:pt>
                <c:pt idx="7">
                  <c:v>10.7</c:v>
                </c:pt>
                <c:pt idx="8">
                  <c:v>11.6</c:v>
                </c:pt>
                <c:pt idx="9">
                  <c:v>26.6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F4-45AA-8FFD-A99C589EDC3B}"/>
            </c:ext>
          </c:extLst>
        </c:ser>
        <c:ser>
          <c:idx val="1"/>
          <c:order val="1"/>
          <c:tx>
            <c:strRef>
              <c:f>Tőzsde!$B$3</c:f>
              <c:strCache>
                <c:ptCount val="1"/>
                <c:pt idx="0">
                  <c:v>PKO Bank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Tőzsde!$C$1:$L$1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Tőzsde!$C$3:$L$3</c:f>
              <c:numCache>
                <c:formatCode>_(* #,##0.00_);_(* \(#,##0.00\);_(* "-"??_);_(@_)</c:formatCode>
                <c:ptCount val="10"/>
                <c:pt idx="0">
                  <c:v>8.0288048151332756</c:v>
                </c:pt>
                <c:pt idx="1">
                  <c:v>11.432206470374409</c:v>
                </c:pt>
                <c:pt idx="2">
                  <c:v>11.431914251207729</c:v>
                </c:pt>
                <c:pt idx="3">
                  <c:v>11.522876487484613</c:v>
                </c:pt>
                <c:pt idx="4">
                  <c:v>-14.039890496675792</c:v>
                </c:pt>
                <c:pt idx="5">
                  <c:v>10.685934011411561</c:v>
                </c:pt>
                <c:pt idx="6">
                  <c:v>13.188318631381984</c:v>
                </c:pt>
                <c:pt idx="7">
                  <c:v>17.843911082474229</c:v>
                </c:pt>
                <c:pt idx="8">
                  <c:v>12.239039665970774</c:v>
                </c:pt>
                <c:pt idx="9">
                  <c:v>13.089080459770114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F4-45AA-8FFD-A99C589EDC3B}"/>
            </c:ext>
          </c:extLst>
        </c:ser>
        <c:ser>
          <c:idx val="2"/>
          <c:order val="2"/>
          <c:tx>
            <c:strRef>
              <c:f>Tőzsde!$B$4</c:f>
              <c:strCache>
                <c:ptCount val="1"/>
                <c:pt idx="0">
                  <c:v>Erste Bank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Tőzsde!$C$1:$L$1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Tőzsde!$C$4:$L$4</c:f>
              <c:numCache>
                <c:formatCode>_(* #,##0.00_);_(* \(#,##0.00\);_(* "-"??_);_(@_)</c:formatCode>
                <c:ptCount val="10"/>
                <c:pt idx="0">
                  <c:v>8.1999999999999993</c:v>
                </c:pt>
                <c:pt idx="1">
                  <c:v>5.4</c:v>
                </c:pt>
                <c:pt idx="2">
                  <c:v>6.2</c:v>
                </c:pt>
                <c:pt idx="3">
                  <c:v>10</c:v>
                </c:pt>
                <c:pt idx="4">
                  <c:v>16</c:v>
                </c:pt>
                <c:pt idx="5">
                  <c:v>9.8000000000000007</c:v>
                </c:pt>
                <c:pt idx="6">
                  <c:v>7</c:v>
                </c:pt>
                <c:pt idx="7">
                  <c:v>11.8</c:v>
                </c:pt>
                <c:pt idx="8">
                  <c:v>9.5</c:v>
                </c:pt>
                <c:pt idx="9">
                  <c:v>12.8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F4-45AA-8FFD-A99C589EDC3B}"/>
            </c:ext>
          </c:extLst>
        </c:ser>
        <c:ser>
          <c:idx val="3"/>
          <c:order val="3"/>
          <c:tx>
            <c:strRef>
              <c:f>Tőzsde!$B$5</c:f>
              <c:strCache>
                <c:ptCount val="1"/>
                <c:pt idx="0">
                  <c:v>Raiffeisen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Tőzsde!$C$1:$L$1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Tőzsde!$C$5:$L$5</c:f>
              <c:numCache>
                <c:formatCode>_(* #,##0.00_);_(* \(#,##0.00\);_(* "-"??_);_(@_)</c:formatCode>
                <c:ptCount val="10"/>
                <c:pt idx="0">
                  <c:v>6.1912225705329158</c:v>
                </c:pt>
                <c:pt idx="1">
                  <c:v>2.6940836940836945</c:v>
                </c:pt>
                <c:pt idx="2">
                  <c:v>1.4265799256505576</c:v>
                </c:pt>
                <c:pt idx="3">
                  <c:v>6.6529562982005137</c:v>
                </c:pt>
                <c:pt idx="4">
                  <c:v>7.5135135135135132</c:v>
                </c:pt>
                <c:pt idx="5">
                  <c:v>6.3248587570621471</c:v>
                </c:pt>
                <c:pt idx="6">
                  <c:v>6.0326086956521738</c:v>
                </c:pt>
                <c:pt idx="7">
                  <c:v>9.0419161676646702</c:v>
                </c:pt>
                <c:pt idx="8">
                  <c:v>10.999999999999998</c:v>
                </c:pt>
                <c:pt idx="9">
                  <c:v>10.469230769230768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F4-45AA-8FFD-A99C589ED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87823"/>
        <c:axId val="1438777743"/>
      </c:lineChart>
      <c:catAx>
        <c:axId val="1438787823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Évek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7743"/>
        <c:crosses val="autoZero"/>
        <c:auto val="1"/>
        <c:lblAlgn val="ctr"/>
        <c:lblOffset val="100"/>
        <c:noMultiLvlLbl val="0"/>
      </c:catAx>
      <c:valAx>
        <c:axId val="1438777743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0" i="0" u="none" strike="noStrike" baseline="0"/>
                  <a:t>Árfolyam/nyereség mutató (P/E, %)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400" b="0" i="0" u="none" strike="noStrike" baseline="0"/>
              <a:t>A kiválasztott bankok </a:t>
            </a:r>
            <a:r>
              <a:rPr lang="hu-HU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részvény árfolyam/</a:t>
            </a:r>
            <a:r>
              <a:rPr lang="hu-HU" sz="1400" b="0" i="0" u="none" strike="noStrike" baseline="0"/>
              <a:t>könyv szerinti érték</a:t>
            </a:r>
            <a:r>
              <a:rPr lang="hu-HU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 ((Price-to-Book ratio, P/B) </a:t>
            </a:r>
            <a:r>
              <a:rPr lang="hu-HU" sz="1400" b="0" i="0" u="none" strike="noStrike" baseline="0"/>
              <a:t>mutató trendje 2015 és 2024 között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Tőzsde!$B$9</c:f>
              <c:strCache>
                <c:ptCount val="1"/>
                <c:pt idx="0">
                  <c:v>OTP Bank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Tőzsde!$C$8:$L$8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Tőzsde!$C$9:$L$9</c:f>
              <c:numCache>
                <c:formatCode>_(* #,##0.00_);_(* \(#,##0.00\);_(* "-"??_);_(@_)</c:formatCode>
                <c:ptCount val="10"/>
                <c:pt idx="0">
                  <c:v>1.1000000000000001</c:v>
                </c:pt>
                <c:pt idx="1">
                  <c:v>1</c:v>
                </c:pt>
                <c:pt idx="2">
                  <c:v>0.7</c:v>
                </c:pt>
                <c:pt idx="3">
                  <c:v>1.3</c:v>
                </c:pt>
                <c:pt idx="4">
                  <c:v>1.5</c:v>
                </c:pt>
                <c:pt idx="5">
                  <c:v>1.9</c:v>
                </c:pt>
                <c:pt idx="6">
                  <c:v>1.7</c:v>
                </c:pt>
                <c:pt idx="7">
                  <c:v>1.8</c:v>
                </c:pt>
                <c:pt idx="8">
                  <c:v>1.7</c:v>
                </c:pt>
                <c:pt idx="9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3B-4D27-9A1C-018C36B687DF}"/>
            </c:ext>
          </c:extLst>
        </c:ser>
        <c:ser>
          <c:idx val="1"/>
          <c:order val="1"/>
          <c:tx>
            <c:strRef>
              <c:f>Tőzsde!$B$10</c:f>
              <c:strCache>
                <c:ptCount val="1"/>
                <c:pt idx="0">
                  <c:v>PKO Bank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Tőzsde!$C$8:$L$8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Tőzsde!$C$10:$L$10</c:f>
              <c:numCache>
                <c:formatCode>_(* #,##0.00_);_(* \(#,##0.00\);_(* "-"??_);_(@_)</c:formatCode>
                <c:ptCount val="10"/>
                <c:pt idx="0">
                  <c:v>1.4263891540958564</c:v>
                </c:pt>
                <c:pt idx="1">
                  <c:v>1.3907621553496803</c:v>
                </c:pt>
                <c:pt idx="2">
                  <c:v>1.068505714688867</c:v>
                </c:pt>
                <c:pt idx="3">
                  <c:v>1.489998142891253</c:v>
                </c:pt>
                <c:pt idx="4">
                  <c:v>0.89950139059407175</c:v>
                </c:pt>
                <c:pt idx="5">
                  <c:v>1.0360046178267353</c:v>
                </c:pt>
                <c:pt idx="6">
                  <c:v>1.2617963734942841</c:v>
                </c:pt>
                <c:pt idx="7">
                  <c:v>1.5276781774051194</c:v>
                </c:pt>
                <c:pt idx="8">
                  <c:v>1.0800147379409868</c:v>
                </c:pt>
                <c:pt idx="9">
                  <c:v>1.1287791177928299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3B-4D27-9A1C-018C36B687DF}"/>
            </c:ext>
          </c:extLst>
        </c:ser>
        <c:ser>
          <c:idx val="2"/>
          <c:order val="2"/>
          <c:tx>
            <c:strRef>
              <c:f>Tőzsde!$B$11</c:f>
              <c:strCache>
                <c:ptCount val="1"/>
                <c:pt idx="0">
                  <c:v>Erste Bank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Tőzsde!$C$8:$L$8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Tőzsde!$C$11:$L$11</c:f>
              <c:numCache>
                <c:formatCode>_(* #,##0.00_);_(* \(#,##0.00\);_(* "-"??_);_(@_)</c:formatCode>
                <c:ptCount val="10"/>
                <c:pt idx="0">
                  <c:v>1.2</c:v>
                </c:pt>
                <c:pt idx="1">
                  <c:v>0.8</c:v>
                </c:pt>
                <c:pt idx="2">
                  <c:v>0.8</c:v>
                </c:pt>
                <c:pt idx="3">
                  <c:v>1.1000000000000001</c:v>
                </c:pt>
                <c:pt idx="4">
                  <c:v>0.7</c:v>
                </c:pt>
                <c:pt idx="5">
                  <c:v>1</c:v>
                </c:pt>
                <c:pt idx="6">
                  <c:v>0.9</c:v>
                </c:pt>
                <c:pt idx="7">
                  <c:v>1.2</c:v>
                </c:pt>
                <c:pt idx="8">
                  <c:v>1</c:v>
                </c:pt>
                <c:pt idx="9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3B-4D27-9A1C-018C36B687DF}"/>
            </c:ext>
          </c:extLst>
        </c:ser>
        <c:ser>
          <c:idx val="3"/>
          <c:order val="3"/>
          <c:tx>
            <c:strRef>
              <c:f>Tőzsde!$B$12</c:f>
              <c:strCache>
                <c:ptCount val="1"/>
                <c:pt idx="0">
                  <c:v>Raiffeisen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Tőzsde!$C$8:$L$8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Tőzsde!$C$12:$L$12</c:f>
              <c:numCache>
                <c:formatCode>_(* #,##0.00_);_(* \(#,##0.00\);_(* "-"??_);_(@_)</c:formatCode>
                <c:ptCount val="10"/>
                <c:pt idx="0">
                  <c:v>0.31939847590953785</c:v>
                </c:pt>
                <c:pt idx="1">
                  <c:v>0.30940147110685678</c:v>
                </c:pt>
                <c:pt idx="2">
                  <c:v>0.26909129183542951</c:v>
                </c:pt>
                <c:pt idx="3">
                  <c:v>0.55011096607431342</c:v>
                </c:pt>
                <c:pt idx="4">
                  <c:v>0.3840089025755879</c:v>
                </c:pt>
                <c:pt idx="5">
                  <c:v>0.53505024337086815</c:v>
                </c:pt>
                <c:pt idx="6">
                  <c:v>0.58829195198582129</c:v>
                </c:pt>
                <c:pt idx="7">
                  <c:v>0.88372813806600836</c:v>
                </c:pt>
                <c:pt idx="8">
                  <c:v>0.55155896880415944</c:v>
                </c:pt>
                <c:pt idx="9">
                  <c:v>0.46905749911775085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3B-4D27-9A1C-018C36B68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87823"/>
        <c:axId val="1438777743"/>
      </c:lineChart>
      <c:catAx>
        <c:axId val="1438787823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Évek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7743"/>
        <c:crosses val="autoZero"/>
        <c:auto val="1"/>
        <c:lblAlgn val="ctr"/>
        <c:lblOffset val="100"/>
        <c:noMultiLvlLbl val="0"/>
      </c:catAx>
      <c:valAx>
        <c:axId val="1438777743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0" i="0" u="none" strike="noStrike" baseline="0"/>
                  <a:t>Áfolyam/könyv szerinti érték mutató (P/B, %)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2022-től 2024-ig</a:t>
            </a:r>
            <a:r>
              <a:rPr lang="hu-HU"/>
              <a:t> terjedő</a:t>
            </a:r>
            <a:r>
              <a:rPr lang="hu-HU" baseline="0"/>
              <a:t> időszak </a:t>
            </a:r>
            <a:r>
              <a:rPr lang="hu-HU" sz="1400" b="0" i="0" u="none" strike="noStrike" baseline="0"/>
              <a:t>átlagos éves növekedési üteme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Tőzsde!$C$15</c:f>
              <c:strCache>
                <c:ptCount val="1"/>
                <c:pt idx="0">
                  <c:v>2022-től 2024-ig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92-4205-87BE-7FFADB072987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192-4205-87BE-7FFADB07298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92-4205-87BE-7FFADB07298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192-4205-87BE-7FFADB072987}"/>
              </c:ext>
            </c:extLst>
          </c:dPt>
          <c:cat>
            <c:strRef>
              <c:f>Tőzsde!$B$16:$B$19</c:f>
              <c:strCache>
                <c:ptCount val="4"/>
                <c:pt idx="0">
                  <c:v>OTP Bank</c:v>
                </c:pt>
                <c:pt idx="1">
                  <c:v>PKO Bank</c:v>
                </c:pt>
                <c:pt idx="2">
                  <c:v>Erste Bank</c:v>
                </c:pt>
                <c:pt idx="3">
                  <c:v>Raiffeisen</c:v>
                </c:pt>
              </c:strCache>
            </c:strRef>
          </c:cat>
          <c:val>
            <c:numRef>
              <c:f>Tőzsde!$C$16:$C$19</c:f>
              <c:numCache>
                <c:formatCode>0.00%</c:formatCode>
                <c:ptCount val="4"/>
                <c:pt idx="0">
                  <c:v>9.3244131283434672E-2</c:v>
                </c:pt>
                <c:pt idx="1">
                  <c:v>9.9743465305800694E-2</c:v>
                </c:pt>
                <c:pt idx="2">
                  <c:v>0.12997606664408878</c:v>
                </c:pt>
                <c:pt idx="3">
                  <c:v>-8.6165375074171657E-2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92-4205-87BE-7FFADB072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8803183"/>
        <c:axId val="1438773423"/>
      </c:barChart>
      <c:catAx>
        <c:axId val="143880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3423"/>
        <c:crosses val="autoZero"/>
        <c:auto val="1"/>
        <c:lblAlgn val="ctr"/>
        <c:lblOffset val="100"/>
        <c:noMultiLvlLbl val="0"/>
      </c:catAx>
      <c:valAx>
        <c:axId val="143877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803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2020-tól</a:t>
            </a:r>
            <a:r>
              <a:rPr lang="hu-HU" baseline="0"/>
              <a:t> 2021-ig </a:t>
            </a:r>
            <a:r>
              <a:rPr lang="hu-HU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terjedő időszak átlagos éves növekedési üteme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Tőzsde!$F$15</c:f>
              <c:strCache>
                <c:ptCount val="1"/>
                <c:pt idx="0">
                  <c:v>2020-tól 2021-ig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FA-4D0C-B5E7-FACAD8DBE0B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4FA-4D0C-B5E7-FACAD8DBE0BE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4FA-4D0C-B5E7-FACAD8DBE0B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4FA-4D0C-B5E7-FACAD8DBE0BE}"/>
              </c:ext>
            </c:extLst>
          </c:dPt>
          <c:cat>
            <c:strRef>
              <c:f>Tőzsde!$B$16:$B$19</c:f>
              <c:strCache>
                <c:ptCount val="4"/>
                <c:pt idx="0">
                  <c:v>OTP Bank</c:v>
                </c:pt>
                <c:pt idx="1">
                  <c:v>PKO Bank</c:v>
                </c:pt>
                <c:pt idx="2">
                  <c:v>Erste Bank</c:v>
                </c:pt>
                <c:pt idx="3">
                  <c:v>Raiffeisen</c:v>
                </c:pt>
              </c:strCache>
            </c:strRef>
          </c:cat>
          <c:val>
            <c:numRef>
              <c:f>Tőzsde!$F$16:$F$19</c:f>
              <c:numCache>
                <c:formatCode>0.00%</c:formatCode>
                <c:ptCount val="4"/>
                <c:pt idx="0">
                  <c:v>3.7220474334402676E-2</c:v>
                </c:pt>
                <c:pt idx="1">
                  <c:v>0.14185398722804221</c:v>
                </c:pt>
                <c:pt idx="2">
                  <c:v>0.1100097176608632</c:v>
                </c:pt>
                <c:pt idx="3">
                  <c:v>7.5115415971545474E-2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FA-4D0C-B5E7-FACAD8DBE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8803183"/>
        <c:axId val="1438773423"/>
        <c:extLst/>
      </c:barChart>
      <c:catAx>
        <c:axId val="143880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3423"/>
        <c:crosses val="autoZero"/>
        <c:auto val="1"/>
        <c:lblAlgn val="ctr"/>
        <c:lblOffset val="100"/>
        <c:noMultiLvlLbl val="0"/>
      </c:catAx>
      <c:valAx>
        <c:axId val="143877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803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2015-től 2019-ig </a:t>
            </a:r>
            <a:r>
              <a:rPr lang="hu-HU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terjedő időszak átlagos éves növekedési üteme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Tőzsde!$H$15</c:f>
              <c:strCache>
                <c:ptCount val="1"/>
                <c:pt idx="0">
                  <c:v>2015-től 2019-ig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4EC-49AA-9E91-B3360478B6C8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94EC-49AA-9E91-B3360478B6C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4EC-49AA-9E91-B3360478B6C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94EC-49AA-9E91-B3360478B6C8}"/>
              </c:ext>
            </c:extLst>
          </c:dPt>
          <c:cat>
            <c:strRef>
              <c:f>Tőzsde!$B$16:$B$19</c:f>
              <c:strCache>
                <c:ptCount val="4"/>
                <c:pt idx="0">
                  <c:v>OTP Bank</c:v>
                </c:pt>
                <c:pt idx="1">
                  <c:v>PKO Bank</c:v>
                </c:pt>
                <c:pt idx="2">
                  <c:v>Erste Bank</c:v>
                </c:pt>
                <c:pt idx="3">
                  <c:v>Raiffeisen</c:v>
                </c:pt>
              </c:strCache>
            </c:strRef>
          </c:cat>
          <c:val>
            <c:numRef>
              <c:f>Tőzsde!$H$16:$H$19</c:f>
              <c:numCache>
                <c:formatCode>0.00%</c:formatCode>
                <c:ptCount val="4"/>
                <c:pt idx="0">
                  <c:v>0.32271231022355318</c:v>
                </c:pt>
                <c:pt idx="1">
                  <c:v>-7.3787859383257492E-3</c:v>
                </c:pt>
                <c:pt idx="2">
                  <c:v>0.10984653551687873</c:v>
                </c:pt>
                <c:pt idx="3">
                  <c:v>0.12301601863540457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EC-49AA-9E91-B3360478B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8803183"/>
        <c:axId val="1438773423"/>
        <c:extLst/>
      </c:barChart>
      <c:catAx>
        <c:axId val="143880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3423"/>
        <c:crosses val="autoZero"/>
        <c:auto val="1"/>
        <c:lblAlgn val="ctr"/>
        <c:lblOffset val="100"/>
        <c:noMultiLvlLbl val="0"/>
      </c:catAx>
      <c:valAx>
        <c:axId val="143877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803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2015-től 2024-ig </a:t>
            </a:r>
            <a:r>
              <a:rPr lang="hu-HU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terjedő időszak átlagos éves növekedési üteme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Tőzsde!$M$15</c:f>
              <c:strCache>
                <c:ptCount val="1"/>
                <c:pt idx="0">
                  <c:v>2015-től 2024-ig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4BF-46D1-88A2-2D97AF346D1D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4BF-46D1-88A2-2D97AF346D1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4BF-46D1-88A2-2D97AF346D1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4BF-46D1-88A2-2D97AF346D1D}"/>
              </c:ext>
            </c:extLst>
          </c:dPt>
          <c:cat>
            <c:strRef>
              <c:f>Tőzsde!$B$16:$B$19</c:f>
              <c:strCache>
                <c:ptCount val="4"/>
                <c:pt idx="0">
                  <c:v>OTP Bank</c:v>
                </c:pt>
                <c:pt idx="1">
                  <c:v>PKO Bank</c:v>
                </c:pt>
                <c:pt idx="2">
                  <c:v>Erste Bank</c:v>
                </c:pt>
                <c:pt idx="3">
                  <c:v>Raiffeisen</c:v>
                </c:pt>
              </c:strCache>
            </c:strRef>
          </c:cat>
          <c:val>
            <c:numRef>
              <c:f>Tőzsde!$M$16:$M$19</c:f>
              <c:numCache>
                <c:formatCode>0.00%</c:formatCode>
                <c:ptCount val="4"/>
                <c:pt idx="0">
                  <c:v>0.18993177112984116</c:v>
                </c:pt>
                <c:pt idx="1">
                  <c:v>5.2691964536587532E-2</c:v>
                </c:pt>
                <c:pt idx="2">
                  <c:v>0.11588026021233389</c:v>
                </c:pt>
                <c:pt idx="3">
                  <c:v>4.6512153148081881E-2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F-46D1-88A2-2D97AF346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8803183"/>
        <c:axId val="1438773423"/>
        <c:extLst/>
      </c:barChart>
      <c:catAx>
        <c:axId val="143880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3423"/>
        <c:crosses val="autoZero"/>
        <c:auto val="1"/>
        <c:lblAlgn val="ctr"/>
        <c:lblOffset val="100"/>
        <c:noMultiLvlLbl val="0"/>
      </c:catAx>
      <c:valAx>
        <c:axId val="143877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803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400" b="0" i="0" u="none" strike="noStrike" baseline="0"/>
              <a:t>Mérlegfőösszeg 2024-ben (millió euró)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Méret!$E$1</c:f>
              <c:strCache>
                <c:ptCount val="1"/>
                <c:pt idx="0">
                  <c:v>Total assets in 2024 in € (million)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00-4B85-BF2E-C00330D22FE2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400-4B85-BF2E-C00330D22FE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00-4B85-BF2E-C00330D22FE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400-4B85-BF2E-C00330D22F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Méret!$A$2:$A$5</c:f>
              <c:strCache>
                <c:ptCount val="4"/>
                <c:pt idx="0">
                  <c:v>OTP</c:v>
                </c:pt>
                <c:pt idx="1">
                  <c:v>PKO</c:v>
                </c:pt>
                <c:pt idx="2">
                  <c:v>Erste</c:v>
                </c:pt>
                <c:pt idx="3">
                  <c:v>Raiffeisen</c:v>
                </c:pt>
              </c:strCache>
            </c:strRef>
          </c:cat>
          <c:val>
            <c:numRef>
              <c:f>Méret!$E$2:$E$5</c:f>
              <c:numCache>
                <c:formatCode>_-* #\ ##0_-;\-* #\ ##0_-;_-* "-"??_-;_-@_-</c:formatCode>
                <c:ptCount val="4"/>
                <c:pt idx="0">
                  <c:v>105877.0708868785</c:v>
                </c:pt>
                <c:pt idx="1">
                  <c:v>122859.64912280701</c:v>
                </c:pt>
                <c:pt idx="2">
                  <c:v>353736</c:v>
                </c:pt>
                <c:pt idx="3">
                  <c:v>199851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00-4B85-BF2E-C00330D22FE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74609168"/>
        <c:axId val="1074584688"/>
      </c:barChart>
      <c:catAx>
        <c:axId val="107460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074584688"/>
        <c:crosses val="autoZero"/>
        <c:auto val="1"/>
        <c:lblAlgn val="ctr"/>
        <c:lblOffset val="100"/>
        <c:noMultiLvlLbl val="0"/>
      </c:catAx>
      <c:valAx>
        <c:axId val="107458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074609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hu-HU" sz="1400" b="0" i="0" u="none" strike="noStrike" baseline="0"/>
              <a:t>A kiválasztott bankok sajáttőke-arányos megtérülésének (ROE) </a:t>
            </a:r>
            <a:r>
              <a:rPr lang="hu-HU" sz="1400">
                <a:effectLst/>
              </a:rPr>
              <a:t>és az eurózóna benchmark összehasonlítása 2015 és 2024 között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Eredményesség!$B$2</c:f>
              <c:strCache>
                <c:ptCount val="1"/>
                <c:pt idx="0">
                  <c:v>OTP Bank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Eredményesség!$C$1:$L$1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Eredményesség!$C$2:$L$2</c:f>
              <c:numCache>
                <c:formatCode>0.00%</c:formatCode>
                <c:ptCount val="10"/>
                <c:pt idx="0">
                  <c:v>0.21018290582131449</c:v>
                </c:pt>
                <c:pt idx="1">
                  <c:v>0.22100067085198202</c:v>
                </c:pt>
                <c:pt idx="2">
                  <c:v>0.17835380903419065</c:v>
                </c:pt>
                <c:pt idx="3">
                  <c:v>0.16362867603233178</c:v>
                </c:pt>
                <c:pt idx="4">
                  <c:v>0.12229180264805023</c:v>
                </c:pt>
                <c:pt idx="5">
                  <c:v>0.18288927450412171</c:v>
                </c:pt>
                <c:pt idx="6">
                  <c:v>0.17810404471118552</c:v>
                </c:pt>
                <c:pt idx="7">
                  <c:v>0.1732088253137852</c:v>
                </c:pt>
                <c:pt idx="8">
                  <c:v>0.14160841868158941</c:v>
                </c:pt>
                <c:pt idx="9">
                  <c:v>9.7470208542230874E-2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5D-4B8F-A957-A9A203EC9805}"/>
            </c:ext>
          </c:extLst>
        </c:ser>
        <c:ser>
          <c:idx val="1"/>
          <c:order val="1"/>
          <c:tx>
            <c:strRef>
              <c:f>Eredményesség!$B$3</c:f>
              <c:strCache>
                <c:ptCount val="1"/>
                <c:pt idx="0">
                  <c:v>PKO Bank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Eredményesség!$C$1:$L$1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Eredményesség!$C$3:$L$3</c:f>
              <c:numCache>
                <c:formatCode>0.00%</c:formatCode>
                <c:ptCount val="10"/>
                <c:pt idx="0">
                  <c:v>0.17765896505632997</c:v>
                </c:pt>
                <c:pt idx="1">
                  <c:v>0.12165299489243152</c:v>
                </c:pt>
                <c:pt idx="2">
                  <c:v>9.275492200408883E-2</c:v>
                </c:pt>
                <c:pt idx="3">
                  <c:v>0.12930782903987478</c:v>
                </c:pt>
                <c:pt idx="4">
                  <c:v>-6.4067550299416201E-2</c:v>
                </c:pt>
                <c:pt idx="5">
                  <c:v>9.6950310260233777E-2</c:v>
                </c:pt>
                <c:pt idx="6">
                  <c:v>9.5675302421932937E-2</c:v>
                </c:pt>
                <c:pt idx="7">
                  <c:v>8.5613415710503085E-2</c:v>
                </c:pt>
                <c:pt idx="8">
                  <c:v>8.8243421658632443E-2</c:v>
                </c:pt>
                <c:pt idx="9">
                  <c:v>8.6238228977366591E-2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5D-4B8F-A957-A9A203EC9805}"/>
            </c:ext>
          </c:extLst>
        </c:ser>
        <c:ser>
          <c:idx val="2"/>
          <c:order val="2"/>
          <c:tx>
            <c:strRef>
              <c:f>Eredményesség!$B$4</c:f>
              <c:strCache>
                <c:ptCount val="1"/>
                <c:pt idx="0">
                  <c:v>Erste Bank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Eredményesség!$C$1:$L$1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Eredményesség!$C$4:$L$4</c:f>
              <c:numCache>
                <c:formatCode>0.00%</c:formatCode>
                <c:ptCount val="10"/>
                <c:pt idx="0">
                  <c:v>0.12822179608021581</c:v>
                </c:pt>
                <c:pt idx="1">
                  <c:v>0.13756929338292051</c:v>
                </c:pt>
                <c:pt idx="2">
                  <c:v>0.10535467298952776</c:v>
                </c:pt>
                <c:pt idx="3">
                  <c:v>0.10241568494024582</c:v>
                </c:pt>
                <c:pt idx="4">
                  <c:v>4.5760821062025885E-2</c:v>
                </c:pt>
                <c:pt idx="5">
                  <c:v>9.3329100942520879E-2</c:v>
                </c:pt>
                <c:pt idx="6">
                  <c:v>0.11460771636016746</c:v>
                </c:pt>
                <c:pt idx="7">
                  <c:v>9.1193514873140855E-2</c:v>
                </c:pt>
                <c:pt idx="8">
                  <c:v>9.2564570533670648E-2</c:v>
                </c:pt>
                <c:pt idx="9">
                  <c:v>8.6117241845073272E-2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5D-4B8F-A957-A9A203EC9805}"/>
            </c:ext>
          </c:extLst>
        </c:ser>
        <c:ser>
          <c:idx val="3"/>
          <c:order val="3"/>
          <c:tx>
            <c:strRef>
              <c:f>Eredményesség!$B$5</c:f>
              <c:strCache>
                <c:ptCount val="1"/>
                <c:pt idx="0">
                  <c:v>Raiffeisen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Eredményesség!$C$1:$L$1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Eredményesség!$C$5:$L$5</c:f>
              <c:numCache>
                <c:formatCode>0.00%</c:formatCode>
                <c:ptCount val="10"/>
                <c:pt idx="0">
                  <c:v>6.6764995083579151E-2</c:v>
                </c:pt>
                <c:pt idx="1">
                  <c:v>0.12988059851881706</c:v>
                </c:pt>
                <c:pt idx="2">
                  <c:v>0.20235557450437008</c:v>
                </c:pt>
                <c:pt idx="3">
                  <c:v>9.7447495961227787E-2</c:v>
                </c:pt>
                <c:pt idx="4">
                  <c:v>6.3689809630459129E-2</c:v>
                </c:pt>
                <c:pt idx="5">
                  <c:v>9.9164547766073377E-2</c:v>
                </c:pt>
                <c:pt idx="6">
                  <c:v>0.11262386208007734</c:v>
                </c:pt>
                <c:pt idx="7">
                  <c:v>0.11084423094030781</c:v>
                </c:pt>
                <c:pt idx="8">
                  <c:v>6.2175043327556329E-2</c:v>
                </c:pt>
                <c:pt idx="9">
                  <c:v>5.117045053523115E-2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5D-4B8F-A957-A9A203EC9805}"/>
            </c:ext>
          </c:extLst>
        </c:ser>
        <c:ser>
          <c:idx val="4"/>
          <c:order val="4"/>
          <c:tx>
            <c:strRef>
              <c:f>Eredményesség!$B$6</c:f>
              <c:strCache>
                <c:ptCount val="1"/>
                <c:pt idx="0">
                  <c:v>Eurózóna benchmarck érték</c:v>
                </c:pt>
              </c:strCache>
            </c:strRef>
          </c:tx>
          <c:spPr>
            <a:ln w="412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Eredményesség!$C$1:$L$1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Eredményesség!$C$6:$L$6</c:f>
              <c:numCache>
                <c:formatCode>0.00%</c:formatCode>
                <c:ptCount val="10"/>
                <c:pt idx="0">
                  <c:v>0.107</c:v>
                </c:pt>
                <c:pt idx="1">
                  <c:v>0.10299999999999999</c:v>
                </c:pt>
                <c:pt idx="2">
                  <c:v>7.2300000000000003E-2</c:v>
                </c:pt>
                <c:pt idx="3">
                  <c:v>7.3800000000000004E-2</c:v>
                </c:pt>
                <c:pt idx="4">
                  <c:v>2.8899999999999999E-2</c:v>
                </c:pt>
                <c:pt idx="5">
                  <c:v>6.5100000000000005E-2</c:v>
                </c:pt>
                <c:pt idx="6">
                  <c:v>7.8100000000000003E-2</c:v>
                </c:pt>
                <c:pt idx="7">
                  <c:v>7.6899999999999996E-2</c:v>
                </c:pt>
                <c:pt idx="8">
                  <c:v>6.9900000000000004E-2</c:v>
                </c:pt>
                <c:pt idx="9">
                  <c:v>6.8500000000000005E-2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5D-4B8F-A957-A9A203EC9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87823"/>
        <c:axId val="1438777743"/>
      </c:lineChart>
      <c:catAx>
        <c:axId val="1438787823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Évek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7743"/>
        <c:crosses val="autoZero"/>
        <c:auto val="1"/>
        <c:lblAlgn val="ctr"/>
        <c:lblOffset val="100"/>
        <c:noMultiLvlLbl val="0"/>
      </c:catAx>
      <c:valAx>
        <c:axId val="1438777743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0" i="0" u="none" strike="noStrike" baseline="0"/>
                  <a:t>Sajáttőke-arányos megtérülés (ROE, %)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400" b="0" i="0" u="none" strike="noStrike" baseline="0"/>
              <a:t>A kiválasztott bankok eszközarányos megtérülésének (ROA) </a:t>
            </a:r>
            <a:r>
              <a:rPr lang="hu-HU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és az eurózóna benchmark összehasonlítása 2015 és 2024 között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Eredményesség!$B$9</c:f>
              <c:strCache>
                <c:ptCount val="1"/>
                <c:pt idx="0">
                  <c:v>OTP Bank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Eredményesség!$C$8:$L$8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Eredményesség!$C$9:$L$9</c:f>
              <c:numCache>
                <c:formatCode>0.00%</c:formatCode>
                <c:ptCount val="10"/>
                <c:pt idx="0">
                  <c:v>2.4784905859924225E-2</c:v>
                </c:pt>
                <c:pt idx="1">
                  <c:v>2.2847047641322418E-2</c:v>
                </c:pt>
                <c:pt idx="2">
                  <c:v>1.806313884711749E-2</c:v>
                </c:pt>
                <c:pt idx="3">
                  <c:v>1.8034155078737336E-2</c:v>
                </c:pt>
                <c:pt idx="4">
                  <c:v>1.3295771084487592E-2</c:v>
                </c:pt>
                <c:pt idx="5">
                  <c:v>2.0825805208856657E-2</c:v>
                </c:pt>
                <c:pt idx="6">
                  <c:v>2.2298051964430039E-2</c:v>
                </c:pt>
                <c:pt idx="7">
                  <c:v>2.1536549633562059E-2</c:v>
                </c:pt>
                <c:pt idx="8">
                  <c:v>1.7947654933191875E-2</c:v>
                </c:pt>
                <c:pt idx="9">
                  <c:v>1.1218089854432118E-2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B4-4B5D-A89F-7513B2522AA5}"/>
            </c:ext>
          </c:extLst>
        </c:ser>
        <c:ser>
          <c:idx val="1"/>
          <c:order val="1"/>
          <c:tx>
            <c:strRef>
              <c:f>Eredményesség!$B$10</c:f>
              <c:strCache>
                <c:ptCount val="1"/>
                <c:pt idx="0">
                  <c:v>PKO Bank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Eredményesség!$C$8:$L$8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Eredményesség!$C$10:$L$10</c:f>
              <c:numCache>
                <c:formatCode>0.00%</c:formatCode>
                <c:ptCount val="10"/>
                <c:pt idx="0">
                  <c:v>1.7714312913513258E-2</c:v>
                </c:pt>
                <c:pt idx="1">
                  <c:v>1.1106423436935419E-2</c:v>
                </c:pt>
                <c:pt idx="2">
                  <c:v>7.9272948345727717E-3</c:v>
                </c:pt>
                <c:pt idx="3">
                  <c:v>1.1657888568380669E-2</c:v>
                </c:pt>
                <c:pt idx="4">
                  <c:v>-6.7831051076224381E-3</c:v>
                </c:pt>
                <c:pt idx="5">
                  <c:v>1.15867627487446E-2</c:v>
                </c:pt>
                <c:pt idx="6">
                  <c:v>1.1537216079937086E-2</c:v>
                </c:pt>
                <c:pt idx="7">
                  <c:v>1.0454276014441989E-2</c:v>
                </c:pt>
                <c:pt idx="8">
                  <c:v>1.0063976636446722E-2</c:v>
                </c:pt>
                <c:pt idx="9">
                  <c:v>9.7774780849629126E-3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B4-4B5D-A89F-7513B2522AA5}"/>
            </c:ext>
          </c:extLst>
        </c:ser>
        <c:ser>
          <c:idx val="2"/>
          <c:order val="2"/>
          <c:tx>
            <c:strRef>
              <c:f>Eredményesség!$B$11</c:f>
              <c:strCache>
                <c:ptCount val="1"/>
                <c:pt idx="0">
                  <c:v>Erste Bank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Eredményesség!$C$8:$L$8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Eredményesség!$C$11:$L$11</c:f>
              <c:numCache>
                <c:formatCode>0.00%</c:formatCode>
                <c:ptCount val="10"/>
                <c:pt idx="0">
                  <c:v>1.1152384829364271E-2</c:v>
                </c:pt>
                <c:pt idx="1">
                  <c:v>1.1629665880678026E-2</c:v>
                </c:pt>
                <c:pt idx="2">
                  <c:v>8.2318249888070644E-3</c:v>
                </c:pt>
                <c:pt idx="3">
                  <c:v>7.8330535930364181E-3</c:v>
                </c:pt>
                <c:pt idx="4">
                  <c:v>3.6969076476059326E-3</c:v>
                </c:pt>
                <c:pt idx="5">
                  <c:v>7.7784063852042989E-3</c:v>
                </c:pt>
                <c:pt idx="6">
                  <c:v>9.1326269468563117E-3</c:v>
                </c:pt>
                <c:pt idx="7">
                  <c:v>7.5580284511395411E-3</c:v>
                </c:pt>
                <c:pt idx="8">
                  <c:v>7.3802004543118815E-3</c:v>
                </c:pt>
                <c:pt idx="9">
                  <c:v>6.3838933028942182E-3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B4-4B5D-A89F-7513B2522AA5}"/>
            </c:ext>
          </c:extLst>
        </c:ser>
        <c:ser>
          <c:idx val="3"/>
          <c:order val="3"/>
          <c:tx>
            <c:strRef>
              <c:f>Eredményesség!$B$12</c:f>
              <c:strCache>
                <c:ptCount val="1"/>
                <c:pt idx="0">
                  <c:v>Raiffeisen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Eredményesség!$C$8:$L$8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Eredményesség!$C$12:$L$12</c:f>
              <c:numCache>
                <c:formatCode>0.00%</c:formatCode>
                <c:ptCount val="10"/>
                <c:pt idx="0">
                  <c:v>6.7950623214294648E-3</c:v>
                </c:pt>
                <c:pt idx="1">
                  <c:v>1.3004373464621344E-2</c:v>
                </c:pt>
                <c:pt idx="2">
                  <c:v>1.833794558986173E-2</c:v>
                </c:pt>
                <c:pt idx="3">
                  <c:v>7.8500372200040608E-3</c:v>
                </c:pt>
                <c:pt idx="4">
                  <c:v>5.4832820154375479E-3</c:v>
                </c:pt>
                <c:pt idx="5">
                  <c:v>8.968462549277266E-3</c:v>
                </c:pt>
                <c:pt idx="6">
                  <c:v>9.9775184669735582E-3</c:v>
                </c:pt>
                <c:pt idx="7">
                  <c:v>9.2196587394373485E-3</c:v>
                </c:pt>
                <c:pt idx="8">
                  <c:v>5.1312307802331399E-3</c:v>
                </c:pt>
                <c:pt idx="9">
                  <c:v>3.8015503334003337E-3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B4-4B5D-A89F-7513B2522AA5}"/>
            </c:ext>
          </c:extLst>
        </c:ser>
        <c:ser>
          <c:idx val="4"/>
          <c:order val="4"/>
          <c:tx>
            <c:strRef>
              <c:f>Eredményesség!$B$13</c:f>
              <c:strCache>
                <c:ptCount val="1"/>
                <c:pt idx="0">
                  <c:v>Eurózóna benchmarck érték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Eredményesség!$C$8:$L$8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Eredményesség!$C$13:$L$13</c:f>
              <c:numCache>
                <c:formatCode>0.00%</c:formatCode>
                <c:ptCount val="10"/>
                <c:pt idx="0">
                  <c:v>8.0999999999999996E-3</c:v>
                </c:pt>
                <c:pt idx="1">
                  <c:v>7.4999999999999997E-3</c:v>
                </c:pt>
                <c:pt idx="2">
                  <c:v>4.7999999999999996E-3</c:v>
                </c:pt>
                <c:pt idx="3">
                  <c:v>5.0000000000000001E-3</c:v>
                </c:pt>
                <c:pt idx="4">
                  <c:v>1.9E-3</c:v>
                </c:pt>
                <c:pt idx="5">
                  <c:v>4.7999999999999996E-3</c:v>
                </c:pt>
                <c:pt idx="6">
                  <c:v>5.5999999999999999E-3</c:v>
                </c:pt>
                <c:pt idx="7">
                  <c:v>5.4000000000000003E-3</c:v>
                </c:pt>
                <c:pt idx="8">
                  <c:v>4.7000000000000002E-3</c:v>
                </c:pt>
                <c:pt idx="9">
                  <c:v>4.5999999999999999E-3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B4-4B5D-A89F-7513B2522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87823"/>
        <c:axId val="1438777743"/>
      </c:lineChart>
      <c:catAx>
        <c:axId val="1438787823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Évek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7743"/>
        <c:crosses val="autoZero"/>
        <c:auto val="1"/>
        <c:lblAlgn val="ctr"/>
        <c:lblOffset val="100"/>
        <c:noMultiLvlLbl val="0"/>
      </c:catAx>
      <c:valAx>
        <c:axId val="1438777743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0" i="0" u="none" strike="noStrike" baseline="0"/>
                  <a:t>Eszközarányos megtérülés (ROA, %)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400" b="0" i="0" u="none" strike="noStrike" baseline="0"/>
              <a:t>A kiválasztott bankok nettó kamatmarzs (NIM) </a:t>
            </a:r>
            <a:r>
              <a:rPr lang="hu-HU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és az eurózóna benchmark összehasonlítása 2015 és 2024 között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Eredményesség!$B$16</c:f>
              <c:strCache>
                <c:ptCount val="1"/>
                <c:pt idx="0">
                  <c:v>OTP Bank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Eredményesség!$C$15:$L$15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Eredményesség!$C$16:$L$16</c:f>
              <c:numCache>
                <c:formatCode>0.00%</c:formatCode>
                <c:ptCount val="10"/>
                <c:pt idx="0">
                  <c:v>4.2799999999999998E-2</c:v>
                </c:pt>
                <c:pt idx="1">
                  <c:v>3.9300000000000002E-2</c:v>
                </c:pt>
                <c:pt idx="2">
                  <c:v>3.5099999999999999E-2</c:v>
                </c:pt>
                <c:pt idx="3">
                  <c:v>3.5099999999999999E-2</c:v>
                </c:pt>
                <c:pt idx="4">
                  <c:v>3.61E-2</c:v>
                </c:pt>
                <c:pt idx="5">
                  <c:v>4.1200000000000001E-2</c:v>
                </c:pt>
                <c:pt idx="6">
                  <c:v>4.2999999999999997E-2</c:v>
                </c:pt>
                <c:pt idx="7">
                  <c:v>4.5600000000000002E-2</c:v>
                </c:pt>
                <c:pt idx="8">
                  <c:v>4.82E-2</c:v>
                </c:pt>
                <c:pt idx="9">
                  <c:v>5.11E-2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FB-44F9-BF74-83B672322C2C}"/>
            </c:ext>
          </c:extLst>
        </c:ser>
        <c:ser>
          <c:idx val="1"/>
          <c:order val="1"/>
          <c:tx>
            <c:strRef>
              <c:f>Eredményesség!$B$17</c:f>
              <c:strCache>
                <c:ptCount val="1"/>
                <c:pt idx="0">
                  <c:v>PKO Bank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Eredményesség!$C$15:$L$15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Eredményesség!$C$17:$L$17</c:f>
              <c:numCache>
                <c:formatCode>0.00%</c:formatCode>
                <c:ptCount val="10"/>
                <c:pt idx="0">
                  <c:v>4.8000000000000001E-2</c:v>
                </c:pt>
                <c:pt idx="1">
                  <c:v>4.3999999999999997E-2</c:v>
                </c:pt>
                <c:pt idx="2">
                  <c:v>3.7999999999999999E-2</c:v>
                </c:pt>
                <c:pt idx="3">
                  <c:v>2.7E-2</c:v>
                </c:pt>
                <c:pt idx="4">
                  <c:v>0.03</c:v>
                </c:pt>
                <c:pt idx="5">
                  <c:v>3.4000000000000002E-2</c:v>
                </c:pt>
                <c:pt idx="6">
                  <c:v>3.4000000000000002E-2</c:v>
                </c:pt>
                <c:pt idx="7">
                  <c:v>3.3000000000000002E-2</c:v>
                </c:pt>
                <c:pt idx="8">
                  <c:v>3.2000000000000001E-2</c:v>
                </c:pt>
                <c:pt idx="9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FB-44F9-BF74-83B672322C2C}"/>
            </c:ext>
          </c:extLst>
        </c:ser>
        <c:ser>
          <c:idx val="2"/>
          <c:order val="2"/>
          <c:tx>
            <c:strRef>
              <c:f>Eredményesség!$B$18</c:f>
              <c:strCache>
                <c:ptCount val="1"/>
                <c:pt idx="0">
                  <c:v>Erste Bank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Eredményesség!$C$15:$L$15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Eredményesség!$C$18:$L$18</c:f>
              <c:numCache>
                <c:formatCode>0.00%</c:formatCode>
                <c:ptCount val="10"/>
                <c:pt idx="0">
                  <c:v>2.46E-2</c:v>
                </c:pt>
                <c:pt idx="1">
                  <c:v>2.5000000000000001E-2</c:v>
                </c:pt>
                <c:pt idx="2">
                  <c:v>2.2100000000000002E-2</c:v>
                </c:pt>
                <c:pt idx="3">
                  <c:v>2.0500000000000001E-2</c:v>
                </c:pt>
                <c:pt idx="4">
                  <c:v>2.0799999999999999E-2</c:v>
                </c:pt>
                <c:pt idx="5">
                  <c:v>2.18E-2</c:v>
                </c:pt>
                <c:pt idx="6">
                  <c:v>2.3E-2</c:v>
                </c:pt>
                <c:pt idx="7">
                  <c:v>2.4E-2</c:v>
                </c:pt>
                <c:pt idx="8">
                  <c:v>2.5100000000000001E-2</c:v>
                </c:pt>
                <c:pt idx="9">
                  <c:v>2.5899999999999999E-2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FB-44F9-BF74-83B672322C2C}"/>
            </c:ext>
          </c:extLst>
        </c:ser>
        <c:ser>
          <c:idx val="3"/>
          <c:order val="3"/>
          <c:tx>
            <c:strRef>
              <c:f>Eredményesség!$B$19</c:f>
              <c:strCache>
                <c:ptCount val="1"/>
                <c:pt idx="0">
                  <c:v>Raiffeisen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Eredményesség!$C$15:$L$15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Eredményesség!$C$19:$L$19</c:f>
              <c:numCache>
                <c:formatCode>0.00%</c:formatCode>
                <c:ptCount val="10"/>
                <c:pt idx="0">
                  <c:v>2.98E-2</c:v>
                </c:pt>
                <c:pt idx="1">
                  <c:v>2.86E-2</c:v>
                </c:pt>
                <c:pt idx="2">
                  <c:v>2.5899999999999999E-2</c:v>
                </c:pt>
                <c:pt idx="3">
                  <c:v>2.01E-2</c:v>
                </c:pt>
                <c:pt idx="4">
                  <c:v>2.1299999999999999E-2</c:v>
                </c:pt>
                <c:pt idx="5">
                  <c:v>2.4400000000000002E-2</c:v>
                </c:pt>
                <c:pt idx="6">
                  <c:v>2.5000000000000001E-2</c:v>
                </c:pt>
                <c:pt idx="7">
                  <c:v>2.4799999999999999E-2</c:v>
                </c:pt>
                <c:pt idx="8">
                  <c:v>2.7799999999999998E-2</c:v>
                </c:pt>
                <c:pt idx="9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FB-44F9-BF74-83B672322C2C}"/>
            </c:ext>
          </c:extLst>
        </c:ser>
        <c:ser>
          <c:idx val="4"/>
          <c:order val="4"/>
          <c:tx>
            <c:strRef>
              <c:f>Eredményesség!$B$20</c:f>
              <c:strCache>
                <c:ptCount val="1"/>
                <c:pt idx="0">
                  <c:v>Eurózóna benchmarck érték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Eredményesség!$C$15:$L$15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Eredményesség!$C$20:$L$20</c:f>
              <c:numCache>
                <c:formatCode>0.00%</c:formatCode>
                <c:ptCount val="10"/>
                <c:pt idx="0">
                  <c:v>1.7600000000000001E-2</c:v>
                </c:pt>
                <c:pt idx="1">
                  <c:v>1.7299999999999999E-2</c:v>
                </c:pt>
                <c:pt idx="2">
                  <c:v>1.3299999999999999E-2</c:v>
                </c:pt>
                <c:pt idx="3">
                  <c:v>1.18E-2</c:v>
                </c:pt>
                <c:pt idx="4">
                  <c:v>1.24E-2</c:v>
                </c:pt>
                <c:pt idx="5">
                  <c:v>1.44E-2</c:v>
                </c:pt>
                <c:pt idx="6">
                  <c:v>1.49E-2</c:v>
                </c:pt>
                <c:pt idx="7">
                  <c:v>1.4E-2</c:v>
                </c:pt>
                <c:pt idx="8">
                  <c:v>1.47E-2</c:v>
                </c:pt>
                <c:pt idx="9">
                  <c:v>1.6E-2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FB-44F9-BF74-83B672322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87823"/>
        <c:axId val="1438777743"/>
      </c:lineChart>
      <c:catAx>
        <c:axId val="1438787823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Évek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7743"/>
        <c:crosses val="autoZero"/>
        <c:auto val="1"/>
        <c:lblAlgn val="ctr"/>
        <c:lblOffset val="100"/>
        <c:noMultiLvlLbl val="0"/>
      </c:catAx>
      <c:valAx>
        <c:axId val="1438777743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0" i="0" u="none" strike="noStrike" baseline="0"/>
                  <a:t>Nettó kamatmarzs (NIM, %)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hu-HU" sz="1400">
                <a:effectLst/>
              </a:rPr>
              <a:t>A kiválasztott közép-kelet-európai bankok költség-bevétel aránya (CIR) és az eurózóna benchmark összehasonlítása</a:t>
            </a:r>
            <a:r>
              <a:rPr lang="hu-HU" sz="1400" baseline="0">
                <a:effectLst/>
              </a:rPr>
              <a:t> </a:t>
            </a:r>
            <a:r>
              <a:rPr lang="hu-HU" sz="1400" b="0" i="0" u="none" strike="noStrike" baseline="0"/>
              <a:t>2015 és 2024 között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Hatékonyság!$B$2</c:f>
              <c:strCache>
                <c:ptCount val="1"/>
                <c:pt idx="0">
                  <c:v>OTP Bank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Hatékonyság!$C$1:$L$1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Hatékonyság!$C$2:$L$2</c:f>
              <c:numCache>
                <c:formatCode>0.00%</c:formatCode>
                <c:ptCount val="10"/>
                <c:pt idx="0">
                  <c:v>0.41299999999999998</c:v>
                </c:pt>
                <c:pt idx="1">
                  <c:v>0.436</c:v>
                </c:pt>
                <c:pt idx="2">
                  <c:v>0.47600000000000003</c:v>
                </c:pt>
                <c:pt idx="3">
                  <c:v>0.49700000000000005</c:v>
                </c:pt>
                <c:pt idx="4">
                  <c:v>0.54100000000000004</c:v>
                </c:pt>
                <c:pt idx="5">
                  <c:v>0.52700000000000002</c:v>
                </c:pt>
                <c:pt idx="6">
                  <c:v>0.56299999999999994</c:v>
                </c:pt>
                <c:pt idx="7">
                  <c:v>0.54900000000000004</c:v>
                </c:pt>
                <c:pt idx="8">
                  <c:v>0.54400000000000004</c:v>
                </c:pt>
                <c:pt idx="9">
                  <c:v>0.52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F1-4D36-B9A6-E678FD9F6964}"/>
            </c:ext>
          </c:extLst>
        </c:ser>
        <c:ser>
          <c:idx val="1"/>
          <c:order val="1"/>
          <c:tx>
            <c:strRef>
              <c:f>Hatékonyság!$B$3</c:f>
              <c:strCache>
                <c:ptCount val="1"/>
                <c:pt idx="0">
                  <c:v>PKO Bank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Hatékonyság!$C$1:$L$1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Hatékonyság!$C$3:$L$3</c:f>
              <c:numCache>
                <c:formatCode>0.00%</c:formatCode>
                <c:ptCount val="10"/>
                <c:pt idx="0">
                  <c:v>0.29499999999999998</c:v>
                </c:pt>
                <c:pt idx="1">
                  <c:v>0.316</c:v>
                </c:pt>
                <c:pt idx="2">
                  <c:v>0.45</c:v>
                </c:pt>
                <c:pt idx="3">
                  <c:v>0.40400000000000003</c:v>
                </c:pt>
                <c:pt idx="4">
                  <c:v>0.40899999999999997</c:v>
                </c:pt>
                <c:pt idx="5">
                  <c:v>0.41299999999999998</c:v>
                </c:pt>
                <c:pt idx="6">
                  <c:v>0.442</c:v>
                </c:pt>
                <c:pt idx="7">
                  <c:v>0.46</c:v>
                </c:pt>
                <c:pt idx="8">
                  <c:v>0.47399999999999998</c:v>
                </c:pt>
                <c:pt idx="9">
                  <c:v>0.56599999999999995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F1-4D36-B9A6-E678FD9F6964}"/>
            </c:ext>
          </c:extLst>
        </c:ser>
        <c:ser>
          <c:idx val="2"/>
          <c:order val="2"/>
          <c:tx>
            <c:strRef>
              <c:f>Hatékonyság!$B$4</c:f>
              <c:strCache>
                <c:ptCount val="1"/>
                <c:pt idx="0">
                  <c:v>Erste Bank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Hatékonyság!$C$1:$L$1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Hatékonyság!$C$4:$L$4</c:f>
              <c:numCache>
                <c:formatCode>0.00%</c:formatCode>
                <c:ptCount val="10"/>
                <c:pt idx="0">
                  <c:v>0.47199999999999998</c:v>
                </c:pt>
                <c:pt idx="1">
                  <c:v>0.47599999999999998</c:v>
                </c:pt>
                <c:pt idx="2">
                  <c:v>0.53400000000000003</c:v>
                </c:pt>
                <c:pt idx="3">
                  <c:v>0.55600000000000005</c:v>
                </c:pt>
                <c:pt idx="4">
                  <c:v>0.59</c:v>
                </c:pt>
                <c:pt idx="5">
                  <c:v>0.59</c:v>
                </c:pt>
                <c:pt idx="6">
                  <c:v>0.60499999999999998</c:v>
                </c:pt>
                <c:pt idx="7">
                  <c:v>0.624</c:v>
                </c:pt>
                <c:pt idx="8">
                  <c:v>0.60199999999999998</c:v>
                </c:pt>
                <c:pt idx="9">
                  <c:v>0.57099999999999995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F1-4D36-B9A6-E678FD9F6964}"/>
            </c:ext>
          </c:extLst>
        </c:ser>
        <c:ser>
          <c:idx val="3"/>
          <c:order val="3"/>
          <c:tx>
            <c:strRef>
              <c:f>Hatékonyság!$B$5</c:f>
              <c:strCache>
                <c:ptCount val="1"/>
                <c:pt idx="0">
                  <c:v>Raiffeisen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Hatékonyság!$C$1:$L$1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Hatékonyság!$C$5:$L$5</c:f>
              <c:numCache>
                <c:formatCode>0.00%</c:formatCode>
                <c:ptCount val="10"/>
                <c:pt idx="0">
                  <c:v>0.43</c:v>
                </c:pt>
                <c:pt idx="1">
                  <c:v>0.43</c:v>
                </c:pt>
                <c:pt idx="2">
                  <c:v>0.36199999999999999</c:v>
                </c:pt>
                <c:pt idx="3">
                  <c:v>0.53</c:v>
                </c:pt>
                <c:pt idx="4">
                  <c:v>0.55400000000000005</c:v>
                </c:pt>
                <c:pt idx="5">
                  <c:v>0.55100000000000005</c:v>
                </c:pt>
                <c:pt idx="6">
                  <c:v>0.55400000000000005</c:v>
                </c:pt>
                <c:pt idx="7">
                  <c:v>0.57099999999999995</c:v>
                </c:pt>
                <c:pt idx="8">
                  <c:v>0.60699999999999998</c:v>
                </c:pt>
                <c:pt idx="9">
                  <c:v>0.59099999999999997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F1-4D36-B9A6-E678FD9F6964}"/>
            </c:ext>
          </c:extLst>
        </c:ser>
        <c:ser>
          <c:idx val="4"/>
          <c:order val="4"/>
          <c:tx>
            <c:strRef>
              <c:f>Hatékonyság!$B$6</c:f>
              <c:strCache>
                <c:ptCount val="1"/>
                <c:pt idx="0">
                  <c:v>Eurózóna benchmarck érték</c:v>
                </c:pt>
              </c:strCache>
            </c:strRef>
          </c:tx>
          <c:spPr>
            <a:ln w="412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Hatékonyság!$C$1:$L$1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Hatékonyság!$C$6:$L$6</c:f>
              <c:numCache>
                <c:formatCode>0.00%</c:formatCode>
                <c:ptCount val="10"/>
                <c:pt idx="0">
                  <c:v>0.51170000000000004</c:v>
                </c:pt>
                <c:pt idx="1">
                  <c:v>0.53500000000000003</c:v>
                </c:pt>
                <c:pt idx="2">
                  <c:v>0.5998</c:v>
                </c:pt>
                <c:pt idx="3">
                  <c:v>0.61129999999999995</c:v>
                </c:pt>
                <c:pt idx="4">
                  <c:v>0.63680000000000003</c:v>
                </c:pt>
                <c:pt idx="5">
                  <c:v>0.61170000000000002</c:v>
                </c:pt>
                <c:pt idx="6">
                  <c:v>0.61409999999999998</c:v>
                </c:pt>
                <c:pt idx="7">
                  <c:v>0.61860000000000004</c:v>
                </c:pt>
                <c:pt idx="8">
                  <c:v>0.61319999999999997</c:v>
                </c:pt>
                <c:pt idx="9">
                  <c:v>0.60270000000000001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F1-4D36-B9A6-E678FD9F6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87823"/>
        <c:axId val="1438777743"/>
      </c:lineChart>
      <c:catAx>
        <c:axId val="1438787823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Évek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7743"/>
        <c:crosses val="autoZero"/>
        <c:auto val="1"/>
        <c:lblAlgn val="ctr"/>
        <c:lblOffset val="100"/>
        <c:noMultiLvlLbl val="0"/>
      </c:catAx>
      <c:valAx>
        <c:axId val="1438777743"/>
        <c:scaling>
          <c:orientation val="minMax"/>
          <c:max val="0.65000000000000013"/>
          <c:min val="0.2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0" i="0" u="none" strike="noStrike" baseline="0"/>
                  <a:t>költség-bevétel arány (CIR, %)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hu-HU" sz="1400">
                <a:effectLst/>
              </a:rPr>
              <a:t>A nem teljesítő hitelek aránya (NPL) a vizsgált bankoknál és az eurózónában </a:t>
            </a:r>
            <a:r>
              <a:rPr lang="hu-HU" sz="1400" b="0" i="0" u="none" strike="noStrike" baseline="0"/>
              <a:t>2015 és 2024 között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Hatékonyság!$B$9</c:f>
              <c:strCache>
                <c:ptCount val="1"/>
                <c:pt idx="0">
                  <c:v>OTP Bank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Hatékonyság!$C$8:$L$8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Hatékonyság!$C$9:$L$9</c:f>
              <c:numCache>
                <c:formatCode>0.00%</c:formatCode>
                <c:ptCount val="10"/>
                <c:pt idx="0">
                  <c:v>3.6449153624039776E-2</c:v>
                </c:pt>
                <c:pt idx="1">
                  <c:v>4.3170261031855728E-2</c:v>
                </c:pt>
                <c:pt idx="2">
                  <c:v>4.9337752356268694E-2</c:v>
                </c:pt>
                <c:pt idx="3">
                  <c:v>5.3116864392780849E-2</c:v>
                </c:pt>
                <c:pt idx="4">
                  <c:v>5.759548833843442E-2</c:v>
                </c:pt>
                <c:pt idx="5">
                  <c:v>5.1652507441237505E-2</c:v>
                </c:pt>
                <c:pt idx="6">
                  <c:v>7.7193696171237502E-2</c:v>
                </c:pt>
                <c:pt idx="7">
                  <c:v>9.1760068266616535E-2</c:v>
                </c:pt>
                <c:pt idx="8">
                  <c:v>0.13791246383551425</c:v>
                </c:pt>
                <c:pt idx="9">
                  <c:v>0.158671930491598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58-493B-A647-FD55409226E9}"/>
            </c:ext>
          </c:extLst>
        </c:ser>
        <c:ser>
          <c:idx val="1"/>
          <c:order val="1"/>
          <c:tx>
            <c:strRef>
              <c:f>Hatékonyság!$B$10</c:f>
              <c:strCache>
                <c:ptCount val="1"/>
                <c:pt idx="0">
                  <c:v>PKO Bank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Hatékonyság!$C$8:$L$8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Hatékonyság!$C$10:$L$10</c:f>
              <c:numCache>
                <c:formatCode>0.00%</c:formatCode>
                <c:ptCount val="10"/>
                <c:pt idx="0">
                  <c:v>3.5900000000000001E-2</c:v>
                </c:pt>
                <c:pt idx="1">
                  <c:v>3.44E-2</c:v>
                </c:pt>
                <c:pt idx="2">
                  <c:v>3.7900000000000003E-2</c:v>
                </c:pt>
                <c:pt idx="3">
                  <c:v>3.9800000000000002E-2</c:v>
                </c:pt>
                <c:pt idx="4">
                  <c:v>4.4299999999999999E-2</c:v>
                </c:pt>
                <c:pt idx="5">
                  <c:v>4.2599999999999999E-2</c:v>
                </c:pt>
                <c:pt idx="6">
                  <c:v>4.87E-2</c:v>
                </c:pt>
                <c:pt idx="7">
                  <c:v>5.5E-2</c:v>
                </c:pt>
                <c:pt idx="8">
                  <c:v>5.8999999999999997E-2</c:v>
                </c:pt>
                <c:pt idx="9">
                  <c:v>6.6000000000000003E-2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58-493B-A647-FD55409226E9}"/>
            </c:ext>
          </c:extLst>
        </c:ser>
        <c:ser>
          <c:idx val="2"/>
          <c:order val="2"/>
          <c:tx>
            <c:strRef>
              <c:f>Hatékonyság!$B$11</c:f>
              <c:strCache>
                <c:ptCount val="1"/>
                <c:pt idx="0">
                  <c:v>Erste Bank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Hatékonyság!$C$8:$L$8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Hatékonyság!$C$11:$L$11</c:f>
              <c:numCache>
                <c:formatCode>0.00%</c:formatCode>
                <c:ptCount val="10"/>
                <c:pt idx="0">
                  <c:v>2.5999999999999999E-2</c:v>
                </c:pt>
                <c:pt idx="1">
                  <c:v>2.3E-2</c:v>
                </c:pt>
                <c:pt idx="2">
                  <c:v>0.02</c:v>
                </c:pt>
                <c:pt idx="3">
                  <c:v>2.4E-2</c:v>
                </c:pt>
                <c:pt idx="4">
                  <c:v>2.7E-2</c:v>
                </c:pt>
                <c:pt idx="5">
                  <c:v>2.5000000000000001E-2</c:v>
                </c:pt>
                <c:pt idx="6">
                  <c:v>3.2000000000000001E-2</c:v>
                </c:pt>
                <c:pt idx="7">
                  <c:v>0.04</c:v>
                </c:pt>
                <c:pt idx="8">
                  <c:v>4.9000000000000002E-2</c:v>
                </c:pt>
                <c:pt idx="9">
                  <c:v>7.0999999999999994E-2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58-493B-A647-FD55409226E9}"/>
            </c:ext>
          </c:extLst>
        </c:ser>
        <c:ser>
          <c:idx val="3"/>
          <c:order val="3"/>
          <c:tx>
            <c:strRef>
              <c:f>Hatékonyság!$B$12</c:f>
              <c:strCache>
                <c:ptCount val="1"/>
                <c:pt idx="0">
                  <c:v>Raiffeisen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Hatékonyság!$C$8:$L$8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Hatékonyság!$C$12:$L$12</c:f>
              <c:numCache>
                <c:formatCode>0.00%</c:formatCode>
                <c:ptCount val="10"/>
                <c:pt idx="0">
                  <c:v>2.1000000000000001E-2</c:v>
                </c:pt>
                <c:pt idx="1">
                  <c:v>1.9E-2</c:v>
                </c:pt>
                <c:pt idx="2">
                  <c:v>1.6E-2</c:v>
                </c:pt>
                <c:pt idx="3">
                  <c:v>1.6E-2</c:v>
                </c:pt>
                <c:pt idx="4">
                  <c:v>1.9E-2</c:v>
                </c:pt>
                <c:pt idx="5">
                  <c:v>2.1000000000000001E-2</c:v>
                </c:pt>
                <c:pt idx="6">
                  <c:v>2.5999999999999999E-2</c:v>
                </c:pt>
                <c:pt idx="7">
                  <c:v>0.04</c:v>
                </c:pt>
                <c:pt idx="8">
                  <c:v>9.1999999999999998E-2</c:v>
                </c:pt>
                <c:pt idx="9">
                  <c:v>0.11899999999999999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58-493B-A647-FD55409226E9}"/>
            </c:ext>
          </c:extLst>
        </c:ser>
        <c:ser>
          <c:idx val="4"/>
          <c:order val="4"/>
          <c:tx>
            <c:strRef>
              <c:f>Hatékonyság!$B$13</c:f>
              <c:strCache>
                <c:ptCount val="1"/>
                <c:pt idx="0">
                  <c:v>Eurózóna benchmarck érték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Hatékonyság!$C$8:$L$8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Hatékonyság!$C$13:$L$13</c:f>
              <c:numCache>
                <c:formatCode>0.00%</c:formatCode>
                <c:ptCount val="10"/>
                <c:pt idx="0">
                  <c:v>1.7100000000000001E-2</c:v>
                </c:pt>
                <c:pt idx="1">
                  <c:v>1.66E-2</c:v>
                </c:pt>
                <c:pt idx="2">
                  <c:v>1.49E-2</c:v>
                </c:pt>
                <c:pt idx="3">
                  <c:v>1.7399999999999999E-2</c:v>
                </c:pt>
                <c:pt idx="4">
                  <c:v>2.23E-2</c:v>
                </c:pt>
                <c:pt idx="5">
                  <c:v>2.69E-2</c:v>
                </c:pt>
                <c:pt idx="6">
                  <c:v>3.0499999999999999E-2</c:v>
                </c:pt>
                <c:pt idx="7">
                  <c:v>3.6700000000000003E-2</c:v>
                </c:pt>
                <c:pt idx="8">
                  <c:v>4.3999999999999997E-2</c:v>
                </c:pt>
                <c:pt idx="9">
                  <c:v>5.0500000000000003E-2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558-493B-A647-FD5540922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87823"/>
        <c:axId val="1438777743"/>
      </c:lineChart>
      <c:catAx>
        <c:axId val="1438787823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Évek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7743"/>
        <c:crosses val="autoZero"/>
        <c:auto val="1"/>
        <c:lblAlgn val="ctr"/>
        <c:lblOffset val="100"/>
        <c:noMultiLvlLbl val="0"/>
      </c:catAx>
      <c:valAx>
        <c:axId val="1438777743"/>
        <c:scaling>
          <c:orientation val="minMax"/>
          <c:max val="0.16000000000000003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0" i="0" u="none" strike="noStrike" baseline="0"/>
                  <a:t>nem teljesítő hitelek aránya (NPL, %)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400" b="0" i="0" u="none" strike="noStrike" baseline="0"/>
              <a:t>A kiválasztott bankok tőkemegfelelőségi (CAR) mutató trendje 2015 és 2024 között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Likviditás!$B$2</c:f>
              <c:strCache>
                <c:ptCount val="1"/>
                <c:pt idx="0">
                  <c:v>OTP Bank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Likviditás!$C$1:$L$1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Likviditás!$C$2:$L$2</c:f>
              <c:numCache>
                <c:formatCode>0.00%</c:formatCode>
                <c:ptCount val="10"/>
                <c:pt idx="0">
                  <c:v>0.20300000000000001</c:v>
                </c:pt>
                <c:pt idx="1">
                  <c:v>0.189</c:v>
                </c:pt>
                <c:pt idx="2">
                  <c:v>0.17799999999999999</c:v>
                </c:pt>
                <c:pt idx="3">
                  <c:v>0.191</c:v>
                </c:pt>
                <c:pt idx="4">
                  <c:v>0.17699999999999999</c:v>
                </c:pt>
                <c:pt idx="5">
                  <c:v>0.16800000000000001</c:v>
                </c:pt>
                <c:pt idx="6">
                  <c:v>0.183</c:v>
                </c:pt>
                <c:pt idx="7">
                  <c:v>0.14599999999999999</c:v>
                </c:pt>
                <c:pt idx="8">
                  <c:v>0.16</c:v>
                </c:pt>
                <c:pt idx="9">
                  <c:v>0.16200000000000001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F4-43FF-9CC0-97F92FEFEB83}"/>
            </c:ext>
          </c:extLst>
        </c:ser>
        <c:ser>
          <c:idx val="1"/>
          <c:order val="1"/>
          <c:tx>
            <c:strRef>
              <c:f>Likviditás!$B$3</c:f>
              <c:strCache>
                <c:ptCount val="1"/>
                <c:pt idx="0">
                  <c:v>PKO Bank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Likviditás!$C$1:$L$1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Likviditás!$C$3:$L$3</c:f>
              <c:numCache>
                <c:formatCode>0.00%</c:formatCode>
                <c:ptCount val="10"/>
                <c:pt idx="0">
                  <c:v>0.18579999999999999</c:v>
                </c:pt>
                <c:pt idx="1">
                  <c:v>0.18840000000000001</c:v>
                </c:pt>
                <c:pt idx="2">
                  <c:v>0.19070000000000001</c:v>
                </c:pt>
                <c:pt idx="3">
                  <c:v>0.18729999999999999</c:v>
                </c:pt>
                <c:pt idx="4">
                  <c:v>0.18179999999999999</c:v>
                </c:pt>
                <c:pt idx="5">
                  <c:v>0.1988</c:v>
                </c:pt>
                <c:pt idx="6">
                  <c:v>0.1888</c:v>
                </c:pt>
                <c:pt idx="7">
                  <c:v>0.17369999999999999</c:v>
                </c:pt>
                <c:pt idx="8">
                  <c:v>0.15809999999999999</c:v>
                </c:pt>
                <c:pt idx="9">
                  <c:v>0.14610000000000001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F4-43FF-9CC0-97F92FEFEB83}"/>
            </c:ext>
          </c:extLst>
        </c:ser>
        <c:ser>
          <c:idx val="2"/>
          <c:order val="2"/>
          <c:tx>
            <c:strRef>
              <c:f>Likviditás!$B$4</c:f>
              <c:strCache>
                <c:ptCount val="1"/>
                <c:pt idx="0">
                  <c:v>Erste Bank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Likviditás!$C$1:$L$1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Likviditás!$C$4:$L$4</c:f>
              <c:numCache>
                <c:formatCode>0.00%</c:formatCode>
                <c:ptCount val="10"/>
                <c:pt idx="0">
                  <c:v>0.19500000000000001</c:v>
                </c:pt>
                <c:pt idx="1">
                  <c:v>0.19900000000000001</c:v>
                </c:pt>
                <c:pt idx="2">
                  <c:v>0.182</c:v>
                </c:pt>
                <c:pt idx="3">
                  <c:v>0.191</c:v>
                </c:pt>
                <c:pt idx="4">
                  <c:v>0.19700000000000001</c:v>
                </c:pt>
                <c:pt idx="5">
                  <c:v>0.185</c:v>
                </c:pt>
                <c:pt idx="6">
                  <c:v>0.18099999999999999</c:v>
                </c:pt>
                <c:pt idx="7">
                  <c:v>0.182</c:v>
                </c:pt>
                <c:pt idx="8">
                  <c:v>0.182</c:v>
                </c:pt>
                <c:pt idx="9">
                  <c:v>0.17199999999999999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F4-43FF-9CC0-97F92FEFEB83}"/>
            </c:ext>
          </c:extLst>
        </c:ser>
        <c:ser>
          <c:idx val="3"/>
          <c:order val="3"/>
          <c:tx>
            <c:strRef>
              <c:f>Likviditás!$B$5</c:f>
              <c:strCache>
                <c:ptCount val="1"/>
                <c:pt idx="0">
                  <c:v>Raiffeisen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Likviditás!$C$1:$L$1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Likviditás!$C$5:$L$5</c:f>
              <c:numCache>
                <c:formatCode>0.00%</c:formatCode>
                <c:ptCount val="10"/>
                <c:pt idx="0">
                  <c:v>0.215</c:v>
                </c:pt>
                <c:pt idx="1">
                  <c:v>0.215</c:v>
                </c:pt>
                <c:pt idx="2">
                  <c:v>0.20200000000000001</c:v>
                </c:pt>
                <c:pt idx="3">
                  <c:v>0.17599999999999999</c:v>
                </c:pt>
                <c:pt idx="4">
                  <c:v>0.185</c:v>
                </c:pt>
                <c:pt idx="5">
                  <c:v>0.18</c:v>
                </c:pt>
                <c:pt idx="6">
                  <c:v>0.183</c:v>
                </c:pt>
                <c:pt idx="7">
                  <c:v>0.17799999999999999</c:v>
                </c:pt>
                <c:pt idx="8">
                  <c:v>0.189</c:v>
                </c:pt>
                <c:pt idx="9">
                  <c:v>0.16800000000000001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F4-43FF-9CC0-97F92FEFEB83}"/>
            </c:ext>
          </c:extLst>
        </c:ser>
        <c:ser>
          <c:idx val="4"/>
          <c:order val="4"/>
          <c:tx>
            <c:strRef>
              <c:f>Likviditás!$B$6</c:f>
              <c:strCache>
                <c:ptCount val="1"/>
                <c:pt idx="0">
                  <c:v>Eurózóna benchmarck érték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Likviditás!$C$1:$L$1</c:f>
              <c:numCache>
                <c:formatCode>General</c:formatCode>
                <c:ptCount val="10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</c:numCache>
            </c:numRef>
          </c:cat>
          <c:val>
            <c:numRef>
              <c:f>Likviditás!$C$6:$L$6</c:f>
              <c:numCache>
                <c:formatCode>0.00%</c:formatCode>
                <c:ptCount val="10"/>
                <c:pt idx="0">
                  <c:v>0.20849999999999999</c:v>
                </c:pt>
                <c:pt idx="1">
                  <c:v>0.20710000000000001</c:v>
                </c:pt>
                <c:pt idx="2">
                  <c:v>0.20319999999999999</c:v>
                </c:pt>
                <c:pt idx="3">
                  <c:v>0.2041</c:v>
                </c:pt>
                <c:pt idx="4">
                  <c:v>0.20480000000000001</c:v>
                </c:pt>
                <c:pt idx="5">
                  <c:v>0.1978</c:v>
                </c:pt>
                <c:pt idx="6">
                  <c:v>0.191</c:v>
                </c:pt>
                <c:pt idx="7">
                  <c:v>0.19089999999999999</c:v>
                </c:pt>
                <c:pt idx="8">
                  <c:v>0.18820000000000001</c:v>
                </c:pt>
                <c:pt idx="9">
                  <c:v>0.18240000000000001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9F4-43FF-9CC0-97F92FEFE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87823"/>
        <c:axId val="1438777743"/>
      </c:lineChart>
      <c:catAx>
        <c:axId val="1438787823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Évek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7743"/>
        <c:crosses val="autoZero"/>
        <c:auto val="1"/>
        <c:lblAlgn val="ctr"/>
        <c:lblOffset val="100"/>
        <c:noMultiLvlLbl val="0"/>
      </c:catAx>
      <c:valAx>
        <c:axId val="1438777743"/>
        <c:scaling>
          <c:orientation val="minMax"/>
          <c:max val="0.22000000000000003"/>
          <c:min val="0.12000000000000001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0" i="0" u="none" strike="noStrike" baseline="0"/>
                  <a:t>Tőkemegfelelőségi mutató (CAR, %)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400" b="0" i="0" u="none" strike="noStrike" baseline="0"/>
              <a:t>A kiválasztott bankok likviditásfedezeti (LCR) mutató trendje 2016 és 2024 között</a:t>
            </a: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Likviditás!$B$9</c:f>
              <c:strCache>
                <c:ptCount val="1"/>
                <c:pt idx="0">
                  <c:v>OTP Bank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Likviditás!$C$8:$K$8</c:f>
              <c:numCache>
                <c:formatCode>General</c:formatCode>
                <c:ptCount val="9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</c:numCache>
            </c:numRef>
          </c:cat>
          <c:val>
            <c:numRef>
              <c:f>Likviditás!$C$9:$I$9</c:f>
              <c:numCache>
                <c:formatCode>0.00%</c:formatCode>
                <c:ptCount val="7"/>
                <c:pt idx="0">
                  <c:v>2.7010000000000001</c:v>
                </c:pt>
                <c:pt idx="1">
                  <c:v>2.4609999999999999</c:v>
                </c:pt>
                <c:pt idx="2">
                  <c:v>1.7210000000000001</c:v>
                </c:pt>
                <c:pt idx="3">
                  <c:v>1.7989999999999999</c:v>
                </c:pt>
                <c:pt idx="4">
                  <c:v>2.14</c:v>
                </c:pt>
                <c:pt idx="5">
                  <c:v>1.6919999999999999</c:v>
                </c:pt>
                <c:pt idx="6">
                  <c:v>2.0699999999999998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3-4E26-8C91-7C017DC67843}"/>
            </c:ext>
          </c:extLst>
        </c:ser>
        <c:ser>
          <c:idx val="1"/>
          <c:order val="1"/>
          <c:tx>
            <c:strRef>
              <c:f>Likviditás!$B$10</c:f>
              <c:strCache>
                <c:ptCount val="1"/>
                <c:pt idx="0">
                  <c:v>PKO Bank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Likviditás!$C$8:$K$8</c:f>
              <c:numCache>
                <c:formatCode>General</c:formatCode>
                <c:ptCount val="9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</c:numCache>
            </c:numRef>
          </c:cat>
          <c:val>
            <c:numRef>
              <c:f>Likviditás!$C$10:$J$10</c:f>
              <c:numCache>
                <c:formatCode>0.00%</c:formatCode>
                <c:ptCount val="8"/>
                <c:pt idx="0">
                  <c:v>2.3109999999999999</c:v>
                </c:pt>
                <c:pt idx="1">
                  <c:v>2.3140000000000001</c:v>
                </c:pt>
                <c:pt idx="2">
                  <c:v>1.5580000000000001</c:v>
                </c:pt>
                <c:pt idx="3">
                  <c:v>1.7649999999999999</c:v>
                </c:pt>
                <c:pt idx="4">
                  <c:v>2.0470000000000002</c:v>
                </c:pt>
                <c:pt idx="5">
                  <c:v>1.39</c:v>
                </c:pt>
                <c:pt idx="6">
                  <c:v>1.2729999999999999</c:v>
                </c:pt>
                <c:pt idx="7">
                  <c:v>1.607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13-4E26-8C91-7C017DC67843}"/>
            </c:ext>
          </c:extLst>
        </c:ser>
        <c:ser>
          <c:idx val="2"/>
          <c:order val="2"/>
          <c:tx>
            <c:strRef>
              <c:f>Likviditás!$B$11</c:f>
              <c:strCache>
                <c:ptCount val="1"/>
                <c:pt idx="0">
                  <c:v>Erste Bank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Likviditás!$C$8:$K$8</c:f>
              <c:numCache>
                <c:formatCode>General</c:formatCode>
                <c:ptCount val="9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</c:numCache>
            </c:numRef>
          </c:cat>
          <c:val>
            <c:numRef>
              <c:f>Likviditás!$C$11:$J$11</c:f>
              <c:numCache>
                <c:formatCode>0.00%</c:formatCode>
                <c:ptCount val="8"/>
                <c:pt idx="0">
                  <c:v>1.516</c:v>
                </c:pt>
                <c:pt idx="1">
                  <c:v>1.534</c:v>
                </c:pt>
                <c:pt idx="2">
                  <c:v>1.38</c:v>
                </c:pt>
                <c:pt idx="3">
                  <c:v>1.7729999999999999</c:v>
                </c:pt>
                <c:pt idx="4">
                  <c:v>1.893</c:v>
                </c:pt>
                <c:pt idx="5">
                  <c:v>1.48</c:v>
                </c:pt>
                <c:pt idx="6">
                  <c:v>1.5009999999999999</c:v>
                </c:pt>
                <c:pt idx="7">
                  <c:v>1.452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13-4E26-8C91-7C017DC67843}"/>
            </c:ext>
          </c:extLst>
        </c:ser>
        <c:ser>
          <c:idx val="3"/>
          <c:order val="3"/>
          <c:tx>
            <c:strRef>
              <c:f>Likviditás!$B$12</c:f>
              <c:strCache>
                <c:ptCount val="1"/>
                <c:pt idx="0">
                  <c:v>Raiffeisen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Likviditás!$C$8:$K$8</c:f>
              <c:numCache>
                <c:formatCode>General</c:formatCode>
                <c:ptCount val="9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</c:numCache>
            </c:numRef>
          </c:cat>
          <c:val>
            <c:numRef>
              <c:f>Likviditás!$C$12:$K$12</c:f>
              <c:numCache>
                <c:formatCode>0.00%</c:formatCode>
                <c:ptCount val="9"/>
                <c:pt idx="0">
                  <c:v>1.82</c:v>
                </c:pt>
                <c:pt idx="1">
                  <c:v>1.89</c:v>
                </c:pt>
                <c:pt idx="2">
                  <c:v>2.02</c:v>
                </c:pt>
                <c:pt idx="3">
                  <c:v>1.53</c:v>
                </c:pt>
                <c:pt idx="4">
                  <c:v>1.64</c:v>
                </c:pt>
                <c:pt idx="5">
                  <c:v>1.4</c:v>
                </c:pt>
                <c:pt idx="6">
                  <c:v>1.34</c:v>
                </c:pt>
                <c:pt idx="7">
                  <c:v>1.39</c:v>
                </c:pt>
                <c:pt idx="8">
                  <c:v>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13-4E26-8C91-7C017DC67843}"/>
            </c:ext>
          </c:extLst>
        </c:ser>
        <c:ser>
          <c:idx val="4"/>
          <c:order val="4"/>
          <c:tx>
            <c:strRef>
              <c:f>Likviditás!$B$13</c:f>
              <c:strCache>
                <c:ptCount val="1"/>
                <c:pt idx="0">
                  <c:v>Eurózóna benchmarck érték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Likviditás!$C$8:$K$8</c:f>
              <c:numCache>
                <c:formatCode>General</c:formatCode>
                <c:ptCount val="9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</c:numCache>
            </c:numRef>
          </c:cat>
          <c:val>
            <c:numRef>
              <c:f>Likviditás!$C$13:$K$13</c:f>
              <c:numCache>
                <c:formatCode>0.00%</c:formatCode>
                <c:ptCount val="9"/>
                <c:pt idx="0">
                  <c:v>1.5386</c:v>
                </c:pt>
                <c:pt idx="1">
                  <c:v>1.5979000000000001</c:v>
                </c:pt>
                <c:pt idx="2">
                  <c:v>1.5902000000000001</c:v>
                </c:pt>
                <c:pt idx="3">
                  <c:v>1.7335</c:v>
                </c:pt>
                <c:pt idx="4">
                  <c:v>1.625</c:v>
                </c:pt>
                <c:pt idx="5">
                  <c:v>1.4298999999999999</c:v>
                </c:pt>
                <c:pt idx="6">
                  <c:v>1.403</c:v>
                </c:pt>
                <c:pt idx="7">
                  <c:v>1.381</c:v>
                </c:pt>
                <c:pt idx="8">
                  <c:v>1.3905000000000001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C13-4E26-8C91-7C017DC67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787823"/>
        <c:axId val="1438777743"/>
      </c:lineChart>
      <c:catAx>
        <c:axId val="1438787823"/>
        <c:scaling>
          <c:orientation val="maxMin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Évek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77743"/>
        <c:crosses val="autoZero"/>
        <c:auto val="1"/>
        <c:lblAlgn val="ctr"/>
        <c:lblOffset val="100"/>
        <c:noMultiLvlLbl val="0"/>
      </c:catAx>
      <c:valAx>
        <c:axId val="1438777743"/>
        <c:scaling>
          <c:orientation val="minMax"/>
          <c:min val="1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000" b="0" i="0" u="none" strike="noStrike" baseline="0"/>
                  <a:t>Likviditásfedezeti mutató (LCR, %)</a:t>
                </a:r>
                <a:endParaRPr lang="hu-H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3878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857250</xdr:colOff>
      <xdr:row>9</xdr:row>
      <xdr:rowOff>23812</xdr:rowOff>
    </xdr:from>
    <xdr:to>
      <xdr:col>4</xdr:col>
      <xdr:colOff>561975</xdr:colOff>
      <xdr:row>23</xdr:row>
      <xdr:rowOff>100012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40943B4-DA68-80C0-BB7D-7C3A8439F2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885825</xdr:colOff>
      <xdr:row>9</xdr:row>
      <xdr:rowOff>33337</xdr:rowOff>
    </xdr:from>
    <xdr:to>
      <xdr:col>11</xdr:col>
      <xdr:colOff>238125</xdr:colOff>
      <xdr:row>23</xdr:row>
      <xdr:rowOff>109537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1B17A4C1-0C47-FBD4-8D81-88F1354E51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22</xdr:row>
      <xdr:rowOff>128587</xdr:rowOff>
    </xdr:from>
    <xdr:to>
      <xdr:col>7</xdr:col>
      <xdr:colOff>304800</xdr:colOff>
      <xdr:row>40</xdr:row>
      <xdr:rowOff>104775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6686556E-DF96-230C-5700-F3AB6233AE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371475</xdr:colOff>
      <xdr:row>22</xdr:row>
      <xdr:rowOff>114300</xdr:rowOff>
    </xdr:from>
    <xdr:to>
      <xdr:col>15</xdr:col>
      <xdr:colOff>590550</xdr:colOff>
      <xdr:row>40</xdr:row>
      <xdr:rowOff>90488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3F23558B-6A71-4011-A5B9-F2A0535278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66675</xdr:colOff>
      <xdr:row>22</xdr:row>
      <xdr:rowOff>114300</xdr:rowOff>
    </xdr:from>
    <xdr:to>
      <xdr:col>24</xdr:col>
      <xdr:colOff>95250</xdr:colOff>
      <xdr:row>40</xdr:row>
      <xdr:rowOff>90488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17D5E821-512D-49F4-92CC-95F8159D1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1066799</xdr:colOff>
      <xdr:row>15</xdr:row>
      <xdr:rowOff>0</xdr:rowOff>
    </xdr:from>
    <xdr:to>
      <xdr:col>10</xdr:col>
      <xdr:colOff>36449</xdr:colOff>
      <xdr:row>33</xdr:row>
      <xdr:rowOff>135000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4B606EB1-470A-4A78-8DA3-47B50446C5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47623</xdr:rowOff>
    </xdr:from>
    <xdr:to>
      <xdr:col>19</xdr:col>
      <xdr:colOff>93600</xdr:colOff>
      <xdr:row>34</xdr:row>
      <xdr:rowOff>28123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BFBDB2B5-41AC-46ED-8B96-91A6F8AB31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104775</xdr:rowOff>
    </xdr:from>
    <xdr:to>
      <xdr:col>7</xdr:col>
      <xdr:colOff>161925</xdr:colOff>
      <xdr:row>40</xdr:row>
      <xdr:rowOff>80963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AD071BA8-E7FE-43A9-A0C1-800EE3427F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228600</xdr:colOff>
      <xdr:row>22</xdr:row>
      <xdr:rowOff>133350</xdr:rowOff>
    </xdr:from>
    <xdr:to>
      <xdr:col>16</xdr:col>
      <xdr:colOff>257175</xdr:colOff>
      <xdr:row>40</xdr:row>
      <xdr:rowOff>109538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63865EAC-84A9-4C42-AE54-B3E23C2E77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333375</xdr:colOff>
      <xdr:row>22</xdr:row>
      <xdr:rowOff>152400</xdr:rowOff>
    </xdr:from>
    <xdr:to>
      <xdr:col>25</xdr:col>
      <xdr:colOff>428625</xdr:colOff>
      <xdr:row>40</xdr:row>
      <xdr:rowOff>128588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E8C945B8-7F7B-4B9A-8673-C413B55EA2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76200</xdr:colOff>
      <xdr:row>16</xdr:row>
      <xdr:rowOff>114300</xdr:rowOff>
    </xdr:from>
    <xdr:to>
      <xdr:col>24</xdr:col>
      <xdr:colOff>171450</xdr:colOff>
      <xdr:row>34</xdr:row>
      <xdr:rowOff>90488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3A8700FA-EE1C-4122-A3DD-F2BE72481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190500</xdr:colOff>
      <xdr:row>36</xdr:row>
      <xdr:rowOff>171450</xdr:rowOff>
    </xdr:from>
    <xdr:to>
      <xdr:col>24</xdr:col>
      <xdr:colOff>285750</xdr:colOff>
      <xdr:row>54</xdr:row>
      <xdr:rowOff>147638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55A23B0D-03B4-4C98-9C5D-27805297FC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485775</xdr:colOff>
      <xdr:row>21</xdr:row>
      <xdr:rowOff>71437</xdr:rowOff>
    </xdr:from>
    <xdr:to>
      <xdr:col>6</xdr:col>
      <xdr:colOff>47625</xdr:colOff>
      <xdr:row>35</xdr:row>
      <xdr:rowOff>147637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1C11284D-47CC-B917-DA4D-CE5E36CCE7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6</xdr:col>
      <xdr:colOff>95250</xdr:colOff>
      <xdr:row>51</xdr:row>
      <xdr:rowOff>76200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14FD9766-302A-4CDA-B937-60BD53D8A4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22</xdr:row>
      <xdr:rowOff>0</xdr:rowOff>
    </xdr:from>
    <xdr:to>
      <xdr:col>13</xdr:col>
      <xdr:colOff>523875</xdr:colOff>
      <xdr:row>36</xdr:row>
      <xdr:rowOff>76200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13FB077E-9289-432E-802D-8AE5E07C0B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37</xdr:row>
      <xdr:rowOff>0</xdr:rowOff>
    </xdr:from>
    <xdr:to>
      <xdr:col>13</xdr:col>
      <xdr:colOff>523875</xdr:colOff>
      <xdr:row>51</xdr:row>
      <xdr:rowOff>76200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5ED7A6F7-03D8-43E8-8898-1093CCA174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Valentin Fincza" id="{0EEF56CD-3329-458D-947E-4DDEAC192253}" userId="2f974dfbe6a61558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3" dT="2025-11-02T18:02:03.97" personId="{0EEF56CD-3329-458D-947E-4DDEAC192253}" id="{8A42962E-BD83-451E-8CE5-CE2D2C994664}">
    <text>2023-tól kezdve új eljárás szerint számoltak, a régi szerint 27,7% lenne</text>
  </threadedComment>
  <threadedComment ref="B5" dT="2025-11-09T19:53:35.66" personId="{0EEF56CD-3329-458D-947E-4DDEAC192253}" id="{CC35C6EE-A737-4703-9AA5-784A5ED42890}">
    <text>Consolidated adjusted profit after tax</text>
  </threadedComment>
  <threadedComment ref="D7" dT="2025-11-02T18:02:43.51" personId="{0EEF56CD-3329-458D-947E-4DDEAC192253}" id="{30376919-F2F9-4531-A37E-E0108015CDC9}">
    <text>2023-tól kezdve új eljárás szerint számoltak, a régi szerint 2,7% lenne</text>
  </threadedComment>
  <threadedComment ref="B9" dT="2025-11-09T19:53:32.37" personId="{0EEF56CD-3329-458D-947E-4DDEAC192253}" id="{53885644-7A90-4267-A900-98403277FADB}">
    <text>Consolidated adjusted profit after tax</text>
  </threadedComment>
  <threadedComment ref="D13" dT="2025-11-02T18:03:26.12" personId="{0EEF56CD-3329-458D-947E-4DDEAC192253}" id="{179D652B-419A-4DC6-B483-99AFEDF3CF55}">
    <text xml:space="preserve">2023-tól kezdve új eljárás szerint számoltak, a régi szerint 43,3% lenne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2" dT="2025-11-09T19:43:50.40" personId="{0EEF56CD-3329-458D-947E-4DDEAC192253}" id="{0B5FDFA4-CE44-47CF-A774-B82F270A0D84}">
    <text>Bank éves jelentésében szereplő adat, feltehetőleg éves átlagos értékkel számol.</text>
  </threadedComment>
  <threadedComment ref="B6" dT="2025-11-09T19:43:53.93" personId="{0EEF56CD-3329-458D-947E-4DDEAC192253}" id="{A33292B6-4216-4472-AE87-A023AE29307D}">
    <text>Bank éves jelentésében szereplő adat, feltehetőleg éves átlagos értékkel számol.</text>
  </threadedComment>
  <threadedComment ref="B10" dT="2025-11-03T16:46:04.60" personId="{0EEF56CD-3329-458D-947E-4DDEAC192253}" id="{63575B06-BD13-4EE4-801D-54882B98F1A6}">
    <text>Interest margin kifejezés alatt található</text>
  </threadedComment>
  <threadedComment ref="B14" dT="2025-11-03T16:41:55.67" personId="{0EEF56CD-3329-458D-947E-4DDEAC192253}" id="{1F53E4B3-A218-4CF5-AB77-0700635116F6}">
    <text>„share of impaired exposures” kifejezés alatt található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2" dT="2025-11-04T21:18:26.24" personId="{0EEF56CD-3329-458D-947E-4DDEAC192253}" id="{E2C868BD-52D2-43D1-83F6-4FCBEDDA8DED}">
    <text>After tax</text>
  </threadedComment>
  <threadedComment ref="B5" dT="2025-11-04T21:31:44.67" personId="{0EEF56CD-3329-458D-947E-4DDEAC192253}" id="{8033477B-4AE4-4159-8051-96BDFE93D486}">
    <text>Nem tartalmazza az éves jelentések</text>
  </threadedComment>
  <threadedComment ref="B12" dT="2025-11-03T16:41:55.67" personId="{0EEF56CD-3329-458D-947E-4DDEAC192253}" id="{AABC243F-2EF6-4E1E-9BE7-B254E37AA35A}">
    <text>NPE rátát alkalmaz, közel hasonló mutató</text>
  </threadedComment>
  <threadedComment ref="B37" dT="2025-11-04T19:33:14.50" personId="{0EEF56CD-3329-458D-947E-4DDEAC192253}" id="{927CDD90-8F38-4DAF-AA4B-F8261A79F040}">
    <text>Csak ROTE szerepel az éves jelentésekben</text>
  </threadedComment>
  <threadedComment ref="B38" dT="2025-11-04T19:33:24.55" personId="{0EEF56CD-3329-458D-947E-4DDEAC192253}" id="{E4EFFE18-7DAE-4466-8EC1-3546BDFAFBA0}">
    <text>Nem szerepel az éves jelentésekben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2" dT="2025-11-04T19:33:14.50" personId="{0EEF56CD-3329-458D-947E-4DDEAC192253}" id="{E3C84E9B-788A-4BDF-8DDB-EE600F26AF00}">
    <text>Csak ROTE szerepel az éves jelentésekben</text>
  </threadedComment>
  <threadedComment ref="B5" dT="2025-11-04T19:33:24.55" personId="{0EEF56CD-3329-458D-947E-4DDEAC192253}" id="{D5213CE5-F02A-4D04-B475-A36369961C20}">
    <text>Nem szerepel az éves jelentésekben</text>
  </threadedComment>
  <threadedComment ref="J11" dT="2025-11-04T19:33:00.02" personId="{0EEF56CD-3329-458D-947E-4DDEAC192253}" id="{7D490CE2-A811-48D5-918D-3376ED85814D}">
    <text>2017-től vannak ezen adatok</text>
  </threadedComment>
  <threadedComment ref="B15" dT="2025-11-04T17:47:13.35" personId="{0EEF56CD-3329-458D-947E-4DDEAC192253}" id="{C588038B-EBA8-4962-9AD4-41206894D0F8}">
    <text>Total Capital Ratio-név alatt találhtató</text>
  </threadedComment>
  <threadedComment ref="B27" dT="2025-11-04T19:33:14.50" personId="{0EEF56CD-3329-458D-947E-4DDEAC192253}" id="{4E8F7AC8-E1B4-4DF4-87AB-69ADC4F15277}">
    <text>Csak ROTE szerepel az éves jelentésekben</text>
  </threadedComment>
  <threadedComment ref="B28" dT="2025-11-04T19:33:24.55" personId="{0EEF56CD-3329-458D-947E-4DDEAC192253}" id="{199F74CD-B944-40EB-8DE2-51F85BD6EF3A}">
    <text>Nem szerepel az éves jelentésekben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8" dT="2025-11-03T16:41:55.67" personId="{0EEF56CD-3329-458D-947E-4DDEAC192253}" id="{568D7097-FD24-41BF-A5BF-3264B3533EA7}">
    <text>Non-performing loans ratio incl. cb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D2" dT="2025-11-02T18:03:26.12" personId="{0EEF56CD-3329-458D-947E-4DDEAC192253}" id="{5F58B65A-2A57-4B36-9A67-6BEB5BB46802}">
    <text xml:space="preserve">2023-tól kezdve új eljárás szerint számoltak, a régi szerint 43,3% lenne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hyperlink" Target="https://www.bankingsupervision.europa.eu/framework/statistics/html/index.en.html" TargetMode="External"/><Relationship Id="rId4" Type="http://schemas.microsoft.com/office/2017/10/relationships/threadedComment" Target="../threadedComments/threadedComment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3.xml"/><Relationship Id="rId4" Type="http://schemas.microsoft.com/office/2017/10/relationships/threadedComment" Target="../threadedComments/threadedComment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B7220-4E84-4F3F-B3C6-EB6068A0AC62}">
  <dimension ref="A1:E5"/>
  <sheetViews>
    <sheetView tabSelected="1" workbookViewId="0">
      <selection activeCell="E3" sqref="E3"/>
    </sheetView>
  </sheetViews>
  <sheetFormatPr defaultRowHeight="15" x14ac:dyDescent="0.25"/>
  <cols>
    <col min="1" max="1" width="15.140625" customWidth="1"/>
    <col min="2" max="2" width="25.7109375" bestFit="1" customWidth="1"/>
    <col min="3" max="3" width="21.7109375" customWidth="1"/>
    <col min="4" max="4" width="25.5703125" bestFit="1" customWidth="1"/>
    <col min="5" max="5" width="30.28515625" bestFit="1" customWidth="1"/>
  </cols>
  <sheetData>
    <row r="1" spans="1:5" x14ac:dyDescent="0.25">
      <c r="A1" s="80"/>
      <c r="B1" s="15" t="s">
        <v>75</v>
      </c>
      <c r="C1" s="90" t="s">
        <v>77</v>
      </c>
      <c r="D1" s="90" t="s">
        <v>76</v>
      </c>
      <c r="E1" s="90" t="s">
        <v>78</v>
      </c>
    </row>
    <row r="2" spans="1:5" x14ac:dyDescent="0.25">
      <c r="A2" s="80" t="s">
        <v>72</v>
      </c>
      <c r="B2" s="81">
        <v>17</v>
      </c>
      <c r="C2" s="91">
        <v>43419128</v>
      </c>
      <c r="D2" s="73">
        <v>410.09</v>
      </c>
      <c r="E2" s="91">
        <f>C2/D2</f>
        <v>105877.0708868785</v>
      </c>
    </row>
    <row r="3" spans="1:5" x14ac:dyDescent="0.25">
      <c r="A3" s="80" t="s">
        <v>73</v>
      </c>
      <c r="B3" s="81">
        <v>9.2789999999999999</v>
      </c>
      <c r="C3" s="91">
        <v>525225</v>
      </c>
      <c r="D3" s="92">
        <v>4.2750000000000004</v>
      </c>
      <c r="E3" s="91">
        <f>C3/D3</f>
        <v>122859.64912280701</v>
      </c>
    </row>
    <row r="4" spans="1:5" x14ac:dyDescent="0.25">
      <c r="A4" s="80" t="s">
        <v>74</v>
      </c>
      <c r="B4" s="81">
        <v>16.600000000000001</v>
      </c>
      <c r="C4" s="91">
        <v>353736</v>
      </c>
      <c r="D4" s="73">
        <v>1</v>
      </c>
      <c r="E4" s="91">
        <f>C4/D4</f>
        <v>353736</v>
      </c>
    </row>
    <row r="5" spans="1:5" x14ac:dyDescent="0.25">
      <c r="A5" s="80" t="s">
        <v>45</v>
      </c>
      <c r="B5" s="81">
        <v>17.899999999999999</v>
      </c>
      <c r="C5" s="91">
        <v>199851</v>
      </c>
      <c r="D5" s="73">
        <v>1</v>
      </c>
      <c r="E5" s="91">
        <f>C5/D5</f>
        <v>199851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75198-0A0D-42B9-A983-14DD659DA90E}">
  <dimension ref="A1:Y20"/>
  <sheetViews>
    <sheetView workbookViewId="0">
      <selection activeCell="K9" sqref="K9"/>
    </sheetView>
  </sheetViews>
  <sheetFormatPr defaultRowHeight="15" x14ac:dyDescent="0.25"/>
  <cols>
    <col min="1" max="1" width="8" bestFit="1" customWidth="1"/>
    <col min="2" max="2" width="26.42578125" bestFit="1" customWidth="1"/>
    <col min="3" max="3" width="13.28515625" bestFit="1" customWidth="1"/>
    <col min="4" max="6" width="9.140625" bestFit="1" customWidth="1"/>
    <col min="7" max="7" width="9.85546875" bestFit="1" customWidth="1"/>
    <col min="8" max="12" width="9.140625" bestFit="1" customWidth="1"/>
    <col min="13" max="13" width="15" bestFit="1" customWidth="1"/>
  </cols>
  <sheetData>
    <row r="1" spans="1:25" x14ac:dyDescent="0.25">
      <c r="A1" s="5" t="s">
        <v>55</v>
      </c>
      <c r="C1" s="16">
        <v>2024</v>
      </c>
      <c r="D1" s="17">
        <v>2023</v>
      </c>
      <c r="E1" s="17">
        <v>2022</v>
      </c>
      <c r="F1" s="17">
        <v>2021</v>
      </c>
      <c r="G1" s="17">
        <v>2020</v>
      </c>
      <c r="H1" s="17">
        <v>2019</v>
      </c>
      <c r="I1" s="17">
        <v>2018</v>
      </c>
      <c r="J1" s="17">
        <v>2017</v>
      </c>
      <c r="K1" s="17">
        <v>2016</v>
      </c>
      <c r="L1" s="18">
        <v>2015</v>
      </c>
      <c r="N1" s="16" t="s">
        <v>64</v>
      </c>
      <c r="O1" s="78" t="s">
        <v>68</v>
      </c>
      <c r="P1" s="70" t="s">
        <v>69</v>
      </c>
      <c r="Q1" s="70" t="s">
        <v>70</v>
      </c>
      <c r="R1" s="76"/>
      <c r="S1" s="18" t="s">
        <v>65</v>
      </c>
      <c r="T1" s="70" t="s">
        <v>68</v>
      </c>
      <c r="U1" s="70" t="s">
        <v>69</v>
      </c>
      <c r="V1" s="16" t="s">
        <v>70</v>
      </c>
      <c r="W1" s="76"/>
      <c r="X1" s="18" t="s">
        <v>66</v>
      </c>
      <c r="Y1" s="70" t="s">
        <v>67</v>
      </c>
    </row>
    <row r="2" spans="1:25" x14ac:dyDescent="0.25">
      <c r="A2" s="5"/>
      <c r="B2" s="53" t="s">
        <v>42</v>
      </c>
      <c r="C2" s="63">
        <v>5.6</v>
      </c>
      <c r="D2" s="64">
        <v>4.5</v>
      </c>
      <c r="E2" s="64">
        <v>8.1999999999999993</v>
      </c>
      <c r="F2" s="64">
        <v>10.199999999999999</v>
      </c>
      <c r="G2" s="64">
        <v>14.4</v>
      </c>
      <c r="H2" s="64">
        <v>10.5</v>
      </c>
      <c r="I2" s="64">
        <v>9.9</v>
      </c>
      <c r="J2" s="64">
        <v>10.7</v>
      </c>
      <c r="K2" s="64">
        <v>11.6</v>
      </c>
      <c r="L2" s="65">
        <v>26.6</v>
      </c>
      <c r="N2" s="87">
        <f>AVERAGE(C2:L2)</f>
        <v>11.219999999999999</v>
      </c>
      <c r="O2" s="88">
        <f>AVERAGE(H2:L2)</f>
        <v>13.86</v>
      </c>
      <c r="P2" s="73">
        <f>AVERAGE(F2:G2)</f>
        <v>12.3</v>
      </c>
      <c r="Q2" s="73">
        <f>AVERAGE(C2:E2)</f>
        <v>6.0999999999999988</v>
      </c>
      <c r="R2" s="82"/>
      <c r="S2" s="89">
        <f>_xlfn.STDEV.P(C2:L2)</f>
        <v>5.7985860345432494</v>
      </c>
      <c r="T2" s="89">
        <f>_xlfn.STDEV.P(H2:L2)</f>
        <v>6.3933090023867942</v>
      </c>
      <c r="U2" s="89">
        <f>_xlfn.STDEV.P(F2:G2)</f>
        <v>2.0999999999999925</v>
      </c>
      <c r="V2" s="89">
        <f>_xlfn.STDEV.P(C2:E2)</f>
        <v>1.5513435037626824</v>
      </c>
      <c r="W2" s="82"/>
      <c r="X2" s="89">
        <f>MIN(C2:L2)</f>
        <v>4.5</v>
      </c>
      <c r="Y2" s="73">
        <f>MAX(C2:L2)</f>
        <v>26.6</v>
      </c>
    </row>
    <row r="3" spans="1:25" x14ac:dyDescent="0.25">
      <c r="A3" s="5"/>
      <c r="B3" s="26" t="s">
        <v>43</v>
      </c>
      <c r="C3" s="57">
        <v>8.0288048151332756</v>
      </c>
      <c r="D3" s="58">
        <v>11.432206470374409</v>
      </c>
      <c r="E3" s="58">
        <v>11.431914251207729</v>
      </c>
      <c r="F3" s="58">
        <v>11.522876487484613</v>
      </c>
      <c r="G3" s="58">
        <v>-14.039890496675792</v>
      </c>
      <c r="H3" s="58">
        <v>10.685934011411561</v>
      </c>
      <c r="I3" s="58">
        <v>13.188318631381984</v>
      </c>
      <c r="J3" s="58">
        <v>17.843911082474229</v>
      </c>
      <c r="K3" s="58">
        <v>12.239039665970774</v>
      </c>
      <c r="L3" s="59">
        <v>13.089080459770114</v>
      </c>
      <c r="N3" s="87">
        <f>AVERAGE(C3:L3)</f>
        <v>9.5422195378532901</v>
      </c>
      <c r="O3" s="88">
        <f>AVERAGE(H3:L3)</f>
        <v>13.409256770201731</v>
      </c>
      <c r="P3" s="73">
        <f t="shared" ref="P3:P12" si="0">AVERAGE(F3:G3)</f>
        <v>-1.2585070045955895</v>
      </c>
      <c r="Q3" s="73">
        <f t="shared" ref="Q3:Q12" si="1">AVERAGE(C3:E3)</f>
        <v>10.297641845571805</v>
      </c>
      <c r="R3" s="82"/>
      <c r="S3" s="89">
        <f>_xlfn.STDEV.P(C3:L3)</f>
        <v>8.202716632751704</v>
      </c>
      <c r="T3" s="89">
        <f t="shared" ref="T3:T12" si="2">_xlfn.STDEV.P(H3:L3)</f>
        <v>2.3917934827189082</v>
      </c>
      <c r="U3" s="89">
        <f t="shared" ref="U3:U12" si="3">_xlfn.STDEV.P(F3:G3)</f>
        <v>12.781383492080202</v>
      </c>
      <c r="V3" s="89">
        <f t="shared" ref="V3:V12" si="4">_xlfn.STDEV.P(C3:E3)</f>
        <v>1.6043100540657889</v>
      </c>
      <c r="W3" s="82"/>
      <c r="X3" s="89">
        <f>MIN(C3:L3)</f>
        <v>-14.039890496675792</v>
      </c>
      <c r="Y3" s="73">
        <f>MAX(C3:L3)</f>
        <v>17.843911082474229</v>
      </c>
    </row>
    <row r="4" spans="1:25" x14ac:dyDescent="0.25">
      <c r="A4" s="5"/>
      <c r="B4" s="26" t="s">
        <v>44</v>
      </c>
      <c r="C4" s="57">
        <v>8.1999999999999993</v>
      </c>
      <c r="D4" s="58">
        <v>5.4</v>
      </c>
      <c r="E4" s="58">
        <v>6.2</v>
      </c>
      <c r="F4" s="58">
        <v>10</v>
      </c>
      <c r="G4" s="58">
        <v>16</v>
      </c>
      <c r="H4" s="58">
        <v>9.8000000000000007</v>
      </c>
      <c r="I4" s="58">
        <v>7</v>
      </c>
      <c r="J4" s="58">
        <v>11.8</v>
      </c>
      <c r="K4" s="58">
        <v>9.5</v>
      </c>
      <c r="L4" s="59">
        <v>12.8</v>
      </c>
      <c r="N4" s="87">
        <f>AVERAGE(C4:L4)</f>
        <v>9.6699999999999982</v>
      </c>
      <c r="O4" s="88">
        <f>AVERAGE(H4:L4)</f>
        <v>10.180000000000001</v>
      </c>
      <c r="P4" s="73">
        <f t="shared" si="0"/>
        <v>13</v>
      </c>
      <c r="Q4" s="73">
        <f t="shared" si="1"/>
        <v>6.6000000000000005</v>
      </c>
      <c r="R4" s="82"/>
      <c r="S4" s="89">
        <f>_xlfn.STDEV.P(C4:L4)</f>
        <v>3.067914601158257</v>
      </c>
      <c r="T4" s="89">
        <f t="shared" si="2"/>
        <v>2.0103730997006499</v>
      </c>
      <c r="U4" s="89">
        <f t="shared" si="3"/>
        <v>3</v>
      </c>
      <c r="V4" s="89">
        <f t="shared" si="4"/>
        <v>1.1775681155103777</v>
      </c>
      <c r="W4" s="82"/>
      <c r="X4" s="89">
        <f>MIN(C4:L4)</f>
        <v>5.4</v>
      </c>
      <c r="Y4" s="73">
        <f>MAX(C4:L4)</f>
        <v>16</v>
      </c>
    </row>
    <row r="5" spans="1:25" x14ac:dyDescent="0.25">
      <c r="A5" s="5"/>
      <c r="B5" s="26" t="s">
        <v>45</v>
      </c>
      <c r="C5" s="57">
        <v>6.1912225705329158</v>
      </c>
      <c r="D5" s="58">
        <v>2.6940836940836945</v>
      </c>
      <c r="E5" s="58">
        <v>1.4265799256505576</v>
      </c>
      <c r="F5" s="58">
        <v>6.6529562982005137</v>
      </c>
      <c r="G5" s="58">
        <v>7.5135135135135132</v>
      </c>
      <c r="H5" s="58">
        <v>6.3248587570621471</v>
      </c>
      <c r="I5" s="58">
        <v>6.0326086956521738</v>
      </c>
      <c r="J5" s="58">
        <v>9.0419161676646702</v>
      </c>
      <c r="K5" s="58">
        <v>10.999999999999998</v>
      </c>
      <c r="L5" s="59">
        <v>10.469230769230768</v>
      </c>
      <c r="N5" s="87">
        <f>AVERAGE(C5:L5)</f>
        <v>6.7346970391590943</v>
      </c>
      <c r="O5" s="88">
        <f>AVERAGE(H5:L5)</f>
        <v>8.5737228779219521</v>
      </c>
      <c r="P5" s="73">
        <f t="shared" si="0"/>
        <v>7.0832349058570134</v>
      </c>
      <c r="Q5" s="73">
        <f t="shared" si="1"/>
        <v>3.4372953967557223</v>
      </c>
      <c r="R5" s="82"/>
      <c r="S5" s="89">
        <f>_xlfn.STDEV.P(C5:L5)</f>
        <v>2.8902417154614302</v>
      </c>
      <c r="T5" s="89">
        <f t="shared" si="2"/>
        <v>2.0597877034838574</v>
      </c>
      <c r="U5" s="89">
        <f t="shared" si="3"/>
        <v>0.43027860765649972</v>
      </c>
      <c r="V5" s="89">
        <f t="shared" si="4"/>
        <v>2.0148991057617724</v>
      </c>
      <c r="W5" s="82"/>
      <c r="X5" s="89">
        <f>MIN(C5:L5)</f>
        <v>1.4265799256505576</v>
      </c>
      <c r="Y5" s="73">
        <f>MAX(C5:L5)</f>
        <v>10.999999999999998</v>
      </c>
    </row>
    <row r="6" spans="1:25" x14ac:dyDescent="0.25">
      <c r="A6" s="5"/>
      <c r="B6" s="52" t="s">
        <v>46</v>
      </c>
      <c r="C6" s="60"/>
      <c r="D6" s="61"/>
      <c r="E6" s="61"/>
      <c r="F6" s="61"/>
      <c r="G6" s="61"/>
      <c r="H6" s="61"/>
      <c r="I6" s="61"/>
      <c r="J6" s="61"/>
      <c r="K6" s="61"/>
      <c r="L6" s="62"/>
      <c r="N6" s="87"/>
      <c r="O6" s="88"/>
      <c r="P6" s="73"/>
      <c r="Q6" s="73"/>
      <c r="R6" s="82"/>
      <c r="S6" s="89"/>
      <c r="T6" s="89"/>
      <c r="U6" s="89"/>
      <c r="V6" s="89"/>
      <c r="W6" s="82"/>
      <c r="X6" s="89"/>
      <c r="Y6" s="73"/>
    </row>
    <row r="8" spans="1:25" x14ac:dyDescent="0.25">
      <c r="A8" s="5" t="s">
        <v>56</v>
      </c>
      <c r="C8" s="16">
        <v>2024</v>
      </c>
      <c r="D8" s="17">
        <v>2023</v>
      </c>
      <c r="E8" s="17">
        <v>2022</v>
      </c>
      <c r="F8" s="17">
        <v>2021</v>
      </c>
      <c r="G8" s="17">
        <v>2020</v>
      </c>
      <c r="H8" s="17">
        <v>2019</v>
      </c>
      <c r="I8" s="17">
        <v>2018</v>
      </c>
      <c r="J8" s="17">
        <v>2017</v>
      </c>
      <c r="K8" s="17">
        <v>2016</v>
      </c>
      <c r="L8" s="18">
        <v>2015</v>
      </c>
    </row>
    <row r="9" spans="1:25" x14ac:dyDescent="0.25">
      <c r="A9" s="5"/>
      <c r="B9" s="53" t="s">
        <v>42</v>
      </c>
      <c r="C9" s="63">
        <v>1.1000000000000001</v>
      </c>
      <c r="D9" s="64">
        <v>1</v>
      </c>
      <c r="E9" s="64">
        <v>0.7</v>
      </c>
      <c r="F9" s="64">
        <v>1.3</v>
      </c>
      <c r="G9" s="64">
        <v>1.5</v>
      </c>
      <c r="H9" s="64">
        <v>1.9</v>
      </c>
      <c r="I9" s="64">
        <v>1.7</v>
      </c>
      <c r="J9" s="64">
        <v>1.8</v>
      </c>
      <c r="K9" s="64">
        <v>1.7</v>
      </c>
      <c r="L9" s="65">
        <v>1.4</v>
      </c>
      <c r="N9" s="87">
        <f>AVERAGE(C9:I9)</f>
        <v>1.3142857142857143</v>
      </c>
      <c r="O9" s="88">
        <f>AVERAGE(H9:I9)</f>
        <v>1.7999999999999998</v>
      </c>
      <c r="P9" s="73">
        <f t="shared" si="0"/>
        <v>1.4</v>
      </c>
      <c r="Q9" s="73">
        <f t="shared" si="1"/>
        <v>0.93333333333333324</v>
      </c>
      <c r="R9" s="82"/>
      <c r="S9" s="89">
        <f>_xlfn.STDEV.P(C9:L9)</f>
        <v>0.36728735344413965</v>
      </c>
      <c r="T9" s="89">
        <f t="shared" si="2"/>
        <v>0.16733200530681513</v>
      </c>
      <c r="U9" s="89">
        <f t="shared" si="3"/>
        <v>9.9999999999999978E-2</v>
      </c>
      <c r="V9" s="89">
        <f t="shared" si="4"/>
        <v>0.16996731711975971</v>
      </c>
      <c r="W9" s="82"/>
      <c r="X9" s="89">
        <f>MIN(C9:L9)</f>
        <v>0.7</v>
      </c>
      <c r="Y9" s="73">
        <f>MAX(C9:L9)</f>
        <v>1.9</v>
      </c>
    </row>
    <row r="10" spans="1:25" x14ac:dyDescent="0.25">
      <c r="A10" s="5"/>
      <c r="B10" s="26" t="s">
        <v>43</v>
      </c>
      <c r="C10" s="57">
        <v>1.4263891540958564</v>
      </c>
      <c r="D10" s="58">
        <v>1.3907621553496803</v>
      </c>
      <c r="E10" s="58">
        <v>1.068505714688867</v>
      </c>
      <c r="F10" s="58">
        <v>1.489998142891253</v>
      </c>
      <c r="G10" s="58">
        <v>0.89950139059407175</v>
      </c>
      <c r="H10" s="58">
        <v>1.0360046178267353</v>
      </c>
      <c r="I10" s="58">
        <v>1.2617963734942841</v>
      </c>
      <c r="J10" s="58">
        <v>1.5276781774051194</v>
      </c>
      <c r="K10" s="58">
        <v>1.0800147379409868</v>
      </c>
      <c r="L10" s="59">
        <v>1.1287791177928299</v>
      </c>
      <c r="N10" s="87">
        <f>AVERAGE(C10:J10)</f>
        <v>1.2625794657932337</v>
      </c>
      <c r="O10" s="88">
        <f>AVERAGE(H10:I10)</f>
        <v>1.1489004956605098</v>
      </c>
      <c r="P10" s="73">
        <f t="shared" si="0"/>
        <v>1.1947497667426623</v>
      </c>
      <c r="Q10" s="73">
        <f t="shared" si="1"/>
        <v>1.2952190080448014</v>
      </c>
      <c r="R10" s="82"/>
      <c r="S10" s="89">
        <f>_xlfn.STDEV.P(C10:L10)</f>
        <v>0.20671521687010053</v>
      </c>
      <c r="T10" s="89">
        <f t="shared" si="2"/>
        <v>0.17738106676381973</v>
      </c>
      <c r="U10" s="89">
        <f t="shared" si="3"/>
        <v>0.2952483761485909</v>
      </c>
      <c r="V10" s="89">
        <f t="shared" si="4"/>
        <v>0.16096895932267064</v>
      </c>
      <c r="W10" s="82"/>
      <c r="X10" s="89">
        <f>MIN(C10:L10)</f>
        <v>0.89950139059407175</v>
      </c>
      <c r="Y10" s="73">
        <f>MAX(C10:L10)</f>
        <v>1.5276781774051194</v>
      </c>
    </row>
    <row r="11" spans="1:25" x14ac:dyDescent="0.25">
      <c r="A11" s="5"/>
      <c r="B11" s="26" t="s">
        <v>44</v>
      </c>
      <c r="C11" s="57">
        <v>1.2</v>
      </c>
      <c r="D11" s="58">
        <v>0.8</v>
      </c>
      <c r="E11" s="58">
        <v>0.8</v>
      </c>
      <c r="F11" s="58">
        <v>1.1000000000000001</v>
      </c>
      <c r="G11" s="58">
        <v>0.7</v>
      </c>
      <c r="H11" s="58">
        <v>1</v>
      </c>
      <c r="I11" s="58">
        <v>0.9</v>
      </c>
      <c r="J11" s="58">
        <v>1.2</v>
      </c>
      <c r="K11" s="58">
        <v>1</v>
      </c>
      <c r="L11" s="59">
        <v>1.1000000000000001</v>
      </c>
      <c r="N11" s="87">
        <f>AVERAGE(C11:J11)</f>
        <v>0.96250000000000002</v>
      </c>
      <c r="O11" s="88">
        <f>AVERAGE(H11:I11)</f>
        <v>0.95</v>
      </c>
      <c r="P11" s="73">
        <f t="shared" si="0"/>
        <v>0.9</v>
      </c>
      <c r="Q11" s="73">
        <f t="shared" si="1"/>
        <v>0.93333333333333324</v>
      </c>
      <c r="R11" s="82"/>
      <c r="S11" s="89">
        <f>_xlfn.STDEV.P(C11:L11)</f>
        <v>0.1661324772583625</v>
      </c>
      <c r="T11" s="89">
        <f t="shared" si="2"/>
        <v>0.10198039027185568</v>
      </c>
      <c r="U11" s="89">
        <f t="shared" si="3"/>
        <v>0.20000000000000009</v>
      </c>
      <c r="V11" s="89">
        <f t="shared" si="4"/>
        <v>0.18856180831641303</v>
      </c>
      <c r="W11" s="82"/>
      <c r="X11" s="89">
        <f>MIN(C11:L11)</f>
        <v>0.7</v>
      </c>
      <c r="Y11" s="73">
        <f>MAX(C11:L11)</f>
        <v>1.2</v>
      </c>
    </row>
    <row r="12" spans="1:25" x14ac:dyDescent="0.25">
      <c r="A12" s="5"/>
      <c r="B12" s="26" t="s">
        <v>45</v>
      </c>
      <c r="C12" s="57">
        <v>0.31939847590953785</v>
      </c>
      <c r="D12" s="58">
        <v>0.30940147110685678</v>
      </c>
      <c r="E12" s="58">
        <v>0.26909129183542951</v>
      </c>
      <c r="F12" s="58">
        <v>0.55011096607431342</v>
      </c>
      <c r="G12" s="58">
        <v>0.3840089025755879</v>
      </c>
      <c r="H12" s="58">
        <v>0.53505024337086815</v>
      </c>
      <c r="I12" s="58">
        <v>0.58829195198582129</v>
      </c>
      <c r="J12" s="58">
        <v>0.88372813806600836</v>
      </c>
      <c r="K12" s="58">
        <v>0.55155896880415944</v>
      </c>
      <c r="L12" s="59">
        <v>0.46905749911775085</v>
      </c>
      <c r="N12" s="87">
        <f>AVERAGE(C12:K12)</f>
        <v>0.48784893441428701</v>
      </c>
      <c r="O12" s="88">
        <f>AVERAGE(H12:I12)</f>
        <v>0.56167109767834478</v>
      </c>
      <c r="P12" s="73">
        <f t="shared" si="0"/>
        <v>0.46705993432495063</v>
      </c>
      <c r="Q12" s="73">
        <f t="shared" si="1"/>
        <v>0.2992970796172747</v>
      </c>
      <c r="R12" s="82"/>
      <c r="S12" s="89">
        <f>_xlfn.STDEV.P(C12:L12)</f>
        <v>0.17208926609904965</v>
      </c>
      <c r="T12" s="89">
        <f t="shared" si="2"/>
        <v>0.14435814202999714</v>
      </c>
      <c r="U12" s="89">
        <f t="shared" si="3"/>
        <v>8.3051031749362916E-2</v>
      </c>
      <c r="V12" s="89">
        <f t="shared" si="4"/>
        <v>2.1745148698772771E-2</v>
      </c>
      <c r="W12" s="82"/>
      <c r="X12" s="89">
        <f>MIN(C12:L12)</f>
        <v>0.26909129183542951</v>
      </c>
      <c r="Y12" s="73">
        <f>MAX(C12:L12)</f>
        <v>0.88372813806600836</v>
      </c>
    </row>
    <row r="13" spans="1:25" x14ac:dyDescent="0.25">
      <c r="A13" s="5"/>
      <c r="B13" s="52" t="s">
        <v>46</v>
      </c>
      <c r="C13" s="60"/>
      <c r="D13" s="61"/>
      <c r="E13" s="61"/>
      <c r="F13" s="61"/>
      <c r="G13" s="61"/>
      <c r="H13" s="61"/>
      <c r="I13" s="61"/>
      <c r="J13" s="61"/>
      <c r="K13" s="61"/>
      <c r="L13" s="62"/>
      <c r="N13" s="74"/>
      <c r="O13" s="79"/>
      <c r="P13" s="69"/>
      <c r="Q13" s="69"/>
      <c r="R13" s="68"/>
      <c r="S13" s="75"/>
      <c r="T13" s="75"/>
      <c r="U13" s="75"/>
      <c r="V13" s="75"/>
      <c r="W13" s="68"/>
      <c r="X13" s="77"/>
      <c r="Y13" s="69"/>
    </row>
    <row r="15" spans="1:25" x14ac:dyDescent="0.25">
      <c r="A15" s="5" t="s">
        <v>57</v>
      </c>
      <c r="C15" s="101" t="s">
        <v>60</v>
      </c>
      <c r="D15" s="102"/>
      <c r="E15" s="102"/>
      <c r="F15" s="103" t="s">
        <v>59</v>
      </c>
      <c r="G15" s="103"/>
      <c r="H15" s="103" t="s">
        <v>58</v>
      </c>
      <c r="I15" s="103"/>
      <c r="J15" s="103"/>
      <c r="K15" s="103"/>
      <c r="L15" s="104"/>
      <c r="M15" s="15" t="s">
        <v>61</v>
      </c>
    </row>
    <row r="16" spans="1:25" x14ac:dyDescent="0.25">
      <c r="A16" s="5"/>
      <c r="B16" s="53" t="s">
        <v>42</v>
      </c>
      <c r="C16" s="108">
        <f>'OTP Bank Nyrt.'!C33</f>
        <v>9.3244131283434672E-2</v>
      </c>
      <c r="D16" s="109"/>
      <c r="E16" s="109"/>
      <c r="F16" s="110">
        <f>'OTP Bank Nyrt.'!F33</f>
        <v>3.7220474334402676E-2</v>
      </c>
      <c r="G16" s="110"/>
      <c r="H16" s="110">
        <f>'OTP Bank Nyrt.'!H33</f>
        <v>0.32271231022355318</v>
      </c>
      <c r="I16" s="110"/>
      <c r="J16" s="110"/>
      <c r="K16" s="110"/>
      <c r="L16" s="110"/>
      <c r="M16" s="66">
        <f>'OTP Bank Nyrt.'!M33</f>
        <v>0.18993177112984116</v>
      </c>
    </row>
    <row r="17" spans="1:13" x14ac:dyDescent="0.25">
      <c r="A17" s="5"/>
      <c r="B17" s="26" t="s">
        <v>43</v>
      </c>
      <c r="C17" s="105">
        <f>'PKO Bank'!C30</f>
        <v>9.9743465305800694E-2</v>
      </c>
      <c r="D17" s="106"/>
      <c r="E17" s="106"/>
      <c r="F17" s="107">
        <f>'PKO Bank'!F30</f>
        <v>0.14185398722804221</v>
      </c>
      <c r="G17" s="107"/>
      <c r="H17" s="107">
        <f>'PKO Bank'!H30</f>
        <v>-7.3787859383257492E-3</v>
      </c>
      <c r="I17" s="107"/>
      <c r="J17" s="107"/>
      <c r="K17" s="107"/>
      <c r="L17" s="107"/>
      <c r="M17" s="67">
        <f>'PKO Bank'!M30</f>
        <v>5.2691964536587532E-2</v>
      </c>
    </row>
    <row r="18" spans="1:13" x14ac:dyDescent="0.25">
      <c r="A18" s="5"/>
      <c r="B18" s="26" t="s">
        <v>44</v>
      </c>
      <c r="C18" s="105">
        <f>'Erste Bank'!C24</f>
        <v>0.12997606664408878</v>
      </c>
      <c r="D18" s="106"/>
      <c r="E18" s="106"/>
      <c r="F18" s="107">
        <f>'Erste Bank'!F24</f>
        <v>0.1100097176608632</v>
      </c>
      <c r="G18" s="107"/>
      <c r="H18" s="107">
        <f>'Erste Bank'!H24</f>
        <v>0.10984653551687873</v>
      </c>
      <c r="I18" s="107"/>
      <c r="J18" s="107"/>
      <c r="K18" s="107"/>
      <c r="L18" s="107"/>
      <c r="M18" s="67">
        <f>'Erste Bank'!M24</f>
        <v>0.11588026021233389</v>
      </c>
    </row>
    <row r="19" spans="1:13" x14ac:dyDescent="0.25">
      <c r="A19" s="5"/>
      <c r="B19" s="26" t="s">
        <v>45</v>
      </c>
      <c r="C19" s="105">
        <f>Raiffeisen!C25</f>
        <v>-8.6165375074171657E-2</v>
      </c>
      <c r="D19" s="106"/>
      <c r="E19" s="106"/>
      <c r="F19" s="107">
        <f>Raiffeisen!F25</f>
        <v>7.5115415971545474E-2</v>
      </c>
      <c r="G19" s="107"/>
      <c r="H19" s="107">
        <f>Raiffeisen!H25</f>
        <v>0.12301601863540457</v>
      </c>
      <c r="I19" s="107"/>
      <c r="J19" s="107"/>
      <c r="K19" s="107"/>
      <c r="L19" s="107"/>
      <c r="M19" s="67">
        <f>Raiffeisen!M25</f>
        <v>4.6512153148081881E-2</v>
      </c>
    </row>
    <row r="20" spans="1:13" x14ac:dyDescent="0.25">
      <c r="A20" s="5"/>
      <c r="B20" s="52" t="s">
        <v>46</v>
      </c>
      <c r="C20" s="111"/>
      <c r="D20" s="112"/>
      <c r="E20" s="112"/>
      <c r="F20" s="113"/>
      <c r="G20" s="113"/>
      <c r="H20" s="113"/>
      <c r="I20" s="113"/>
      <c r="J20" s="113"/>
      <c r="K20" s="113"/>
      <c r="L20" s="113"/>
      <c r="M20" s="40"/>
    </row>
  </sheetData>
  <mergeCells count="18">
    <mergeCell ref="C20:E20"/>
    <mergeCell ref="F20:G20"/>
    <mergeCell ref="H20:L20"/>
    <mergeCell ref="C19:E19"/>
    <mergeCell ref="F19:G19"/>
    <mergeCell ref="H19:L19"/>
    <mergeCell ref="C15:E15"/>
    <mergeCell ref="F15:G15"/>
    <mergeCell ref="H15:L15"/>
    <mergeCell ref="C18:E18"/>
    <mergeCell ref="F18:G18"/>
    <mergeCell ref="H18:L18"/>
    <mergeCell ref="C16:E16"/>
    <mergeCell ref="F16:G16"/>
    <mergeCell ref="H16:L16"/>
    <mergeCell ref="C17:E17"/>
    <mergeCell ref="F17:G17"/>
    <mergeCell ref="H17:L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8"/>
  <sheetViews>
    <sheetView workbookViewId="0">
      <selection activeCell="C33" sqref="C33:E33"/>
    </sheetView>
  </sheetViews>
  <sheetFormatPr defaultRowHeight="15" x14ac:dyDescent="0.25"/>
  <cols>
    <col min="1" max="1" width="31.42578125" style="3" bestFit="1" customWidth="1"/>
    <col min="2" max="2" width="34.7109375" bestFit="1" customWidth="1"/>
    <col min="3" max="4" width="13.28515625" customWidth="1"/>
    <col min="5" max="5" width="14" customWidth="1"/>
    <col min="6" max="6" width="11.28515625" customWidth="1"/>
    <col min="7" max="7" width="13.28515625" customWidth="1"/>
    <col min="8" max="12" width="13.28515625" bestFit="1" customWidth="1"/>
    <col min="19" max="19" width="12.7109375" customWidth="1"/>
  </cols>
  <sheetData>
    <row r="1" spans="1:14" x14ac:dyDescent="0.25">
      <c r="C1" s="16">
        <v>2024</v>
      </c>
      <c r="D1" s="19">
        <v>2023</v>
      </c>
      <c r="E1" s="17">
        <v>2022</v>
      </c>
      <c r="F1" s="17">
        <v>2021</v>
      </c>
      <c r="G1" s="17">
        <v>2020</v>
      </c>
      <c r="H1" s="17">
        <v>2019</v>
      </c>
      <c r="I1" s="17">
        <v>2018</v>
      </c>
      <c r="J1" s="17">
        <v>2017</v>
      </c>
      <c r="K1" s="17">
        <v>2016</v>
      </c>
      <c r="L1" s="18">
        <v>2015</v>
      </c>
      <c r="M1" s="76">
        <v>2014</v>
      </c>
    </row>
    <row r="2" spans="1:14" s="3" customFormat="1" x14ac:dyDescent="0.25">
      <c r="A2" s="3" t="s">
        <v>8</v>
      </c>
      <c r="B2" s="10" t="s">
        <v>0</v>
      </c>
      <c r="C2" s="9">
        <v>0.23499999999999999</v>
      </c>
      <c r="D2" s="9">
        <v>0.27200000000000002</v>
      </c>
      <c r="E2" s="9">
        <v>0.11</v>
      </c>
      <c r="F2" s="9">
        <v>0.17</v>
      </c>
      <c r="G2" s="9">
        <v>0.109</v>
      </c>
      <c r="H2" s="9">
        <v>0.20300000000000001</v>
      </c>
      <c r="I2" s="9">
        <v>0.187</v>
      </c>
      <c r="J2" s="9">
        <v>0.185</v>
      </c>
      <c r="K2" s="9">
        <v>0.154</v>
      </c>
      <c r="L2" s="9">
        <v>5.0999999999999997E-2</v>
      </c>
      <c r="N2" s="35"/>
    </row>
    <row r="3" spans="1:14" s="5" customFormat="1" x14ac:dyDescent="0.25">
      <c r="A3" s="11"/>
      <c r="B3" s="6" t="s">
        <v>15</v>
      </c>
      <c r="C3" s="12">
        <v>0.23499999999999999</v>
      </c>
      <c r="D3" s="12">
        <v>0.249</v>
      </c>
      <c r="E3" s="12">
        <v>0.188</v>
      </c>
      <c r="F3" s="12">
        <v>0.185</v>
      </c>
      <c r="G3" s="12">
        <v>0.13</v>
      </c>
      <c r="H3" s="12">
        <v>0.20599999999999999</v>
      </c>
      <c r="I3" s="12">
        <v>0.191</v>
      </c>
      <c r="J3" s="12">
        <v>0.187</v>
      </c>
      <c r="K3" s="12">
        <v>0.154</v>
      </c>
      <c r="L3" s="12">
        <v>9.6000000000000002E-2</v>
      </c>
      <c r="N3" s="35"/>
    </row>
    <row r="4" spans="1:14" s="5" customFormat="1" x14ac:dyDescent="0.25">
      <c r="A4" s="11"/>
      <c r="B4" s="4" t="s">
        <v>62</v>
      </c>
      <c r="C4" s="12">
        <f>C5/C6</f>
        <v>0.21018290582131449</v>
      </c>
      <c r="D4" s="12">
        <f t="shared" ref="D4:L4" si="0">D5/D6</f>
        <v>0.22100067085198202</v>
      </c>
      <c r="E4" s="12">
        <f t="shared" si="0"/>
        <v>0.17835380903419065</v>
      </c>
      <c r="F4" s="12">
        <f t="shared" si="0"/>
        <v>0.16362867603233178</v>
      </c>
      <c r="G4" s="12">
        <f t="shared" si="0"/>
        <v>0.12229180264805023</v>
      </c>
      <c r="H4" s="12">
        <f t="shared" si="0"/>
        <v>0.18288927450412171</v>
      </c>
      <c r="I4" s="12">
        <f t="shared" si="0"/>
        <v>0.17810404471118552</v>
      </c>
      <c r="J4" s="12">
        <f t="shared" si="0"/>
        <v>0.1732088253137852</v>
      </c>
      <c r="K4" s="12">
        <f t="shared" si="0"/>
        <v>0.14160841868158941</v>
      </c>
      <c r="L4" s="12">
        <f t="shared" si="0"/>
        <v>9.7470208542230874E-2</v>
      </c>
      <c r="N4" s="35"/>
    </row>
    <row r="5" spans="1:14" s="5" customFormat="1" x14ac:dyDescent="0.25">
      <c r="A5" s="3" t="s">
        <v>16</v>
      </c>
      <c r="B5" s="30" t="s">
        <v>33</v>
      </c>
      <c r="C5" s="7">
        <v>1076139</v>
      </c>
      <c r="D5" s="7">
        <v>904952</v>
      </c>
      <c r="E5" s="7">
        <v>592547</v>
      </c>
      <c r="F5" s="7">
        <v>496902</v>
      </c>
      <c r="G5" s="7">
        <v>310268</v>
      </c>
      <c r="H5" s="7">
        <v>419052</v>
      </c>
      <c r="I5" s="7">
        <v>325335</v>
      </c>
      <c r="J5" s="7">
        <v>284072</v>
      </c>
      <c r="K5" s="7">
        <v>201176</v>
      </c>
      <c r="L5" s="7">
        <v>120245</v>
      </c>
      <c r="N5" s="35"/>
    </row>
    <row r="6" spans="1:14" s="5" customFormat="1" x14ac:dyDescent="0.25">
      <c r="A6" s="3" t="s">
        <v>16</v>
      </c>
      <c r="B6" s="30" t="s">
        <v>31</v>
      </c>
      <c r="C6" s="7">
        <v>5120012</v>
      </c>
      <c r="D6" s="7">
        <v>4094793</v>
      </c>
      <c r="E6" s="7">
        <v>3322312</v>
      </c>
      <c r="F6" s="7">
        <v>3036766</v>
      </c>
      <c r="G6" s="7">
        <v>2537112</v>
      </c>
      <c r="H6" s="7">
        <v>2291288</v>
      </c>
      <c r="I6" s="7">
        <v>1826657</v>
      </c>
      <c r="J6" s="7">
        <v>1640055</v>
      </c>
      <c r="K6" s="7">
        <v>1420650</v>
      </c>
      <c r="L6" s="7">
        <v>1233659</v>
      </c>
      <c r="N6" s="35"/>
    </row>
    <row r="7" spans="1:14" s="5" customFormat="1" x14ac:dyDescent="0.25">
      <c r="A7" s="11" t="s">
        <v>9</v>
      </c>
      <c r="B7" s="6" t="s">
        <v>1</v>
      </c>
      <c r="C7" s="12">
        <v>2.5999999999999999E-2</v>
      </c>
      <c r="D7" s="12">
        <v>2.4E-2</v>
      </c>
      <c r="E7" s="12">
        <v>1.9E-2</v>
      </c>
      <c r="F7" s="12">
        <v>0.02</v>
      </c>
      <c r="G7" s="12">
        <v>1.4E-2</v>
      </c>
      <c r="H7" s="12">
        <v>2.4E-2</v>
      </c>
      <c r="I7" s="12">
        <v>2.3E-2</v>
      </c>
      <c r="J7" s="12">
        <v>2.4E-2</v>
      </c>
      <c r="K7" s="12">
        <v>1.9E-2</v>
      </c>
      <c r="L7" s="12">
        <v>1.0999999999999999E-2</v>
      </c>
      <c r="N7" s="35"/>
    </row>
    <row r="8" spans="1:14" s="5" customFormat="1" x14ac:dyDescent="0.25">
      <c r="A8" s="11"/>
      <c r="B8" s="6" t="s">
        <v>63</v>
      </c>
      <c r="C8" s="12">
        <f>C9/C10</f>
        <v>2.4784905859924225E-2</v>
      </c>
      <c r="D8" s="12">
        <f t="shared" ref="D8:L8" si="1">D9/D10</f>
        <v>2.2847047641322418E-2</v>
      </c>
      <c r="E8" s="12">
        <f t="shared" si="1"/>
        <v>1.806313884711749E-2</v>
      </c>
      <c r="F8" s="12">
        <f t="shared" si="1"/>
        <v>1.8034155078737336E-2</v>
      </c>
      <c r="G8" s="12">
        <f t="shared" si="1"/>
        <v>1.3295771084487592E-2</v>
      </c>
      <c r="H8" s="12">
        <f t="shared" si="1"/>
        <v>2.0825805208856657E-2</v>
      </c>
      <c r="I8" s="12">
        <f t="shared" si="1"/>
        <v>2.2298051964430039E-2</v>
      </c>
      <c r="J8" s="12">
        <f t="shared" si="1"/>
        <v>2.1536549633562059E-2</v>
      </c>
      <c r="K8" s="12">
        <f t="shared" si="1"/>
        <v>1.7947654933191875E-2</v>
      </c>
      <c r="L8" s="12">
        <f t="shared" si="1"/>
        <v>1.1218089854432118E-2</v>
      </c>
      <c r="N8" s="35"/>
    </row>
    <row r="9" spans="1:14" s="5" customFormat="1" x14ac:dyDescent="0.25">
      <c r="A9" s="3" t="s">
        <v>16</v>
      </c>
      <c r="B9" s="30" t="s">
        <v>33</v>
      </c>
      <c r="C9" s="7">
        <v>1076139</v>
      </c>
      <c r="D9" s="7">
        <v>904952</v>
      </c>
      <c r="E9" s="7">
        <v>592547</v>
      </c>
      <c r="F9" s="7">
        <v>496902</v>
      </c>
      <c r="G9" s="7">
        <v>310268</v>
      </c>
      <c r="H9" s="7">
        <v>419052</v>
      </c>
      <c r="I9" s="7">
        <v>325335</v>
      </c>
      <c r="J9" s="7">
        <v>284072</v>
      </c>
      <c r="K9" s="7">
        <v>201176</v>
      </c>
      <c r="L9" s="7">
        <v>120245</v>
      </c>
      <c r="N9" s="35"/>
    </row>
    <row r="10" spans="1:14" s="5" customFormat="1" x14ac:dyDescent="0.25">
      <c r="A10" s="3" t="s">
        <v>16</v>
      </c>
      <c r="B10" s="30" t="s">
        <v>32</v>
      </c>
      <c r="C10" s="7">
        <v>43419128</v>
      </c>
      <c r="D10" s="7">
        <v>39609144</v>
      </c>
      <c r="E10" s="7">
        <v>32804210</v>
      </c>
      <c r="F10" s="7">
        <v>27553384</v>
      </c>
      <c r="G10" s="7">
        <v>23335841</v>
      </c>
      <c r="H10" s="7">
        <v>20121767</v>
      </c>
      <c r="I10" s="7">
        <v>14590288</v>
      </c>
      <c r="J10" s="7">
        <v>13190228</v>
      </c>
      <c r="K10" s="7">
        <v>11209041</v>
      </c>
      <c r="L10" s="7">
        <v>10718848</v>
      </c>
      <c r="N10" s="35"/>
    </row>
    <row r="11" spans="1:14" s="5" customFormat="1" x14ac:dyDescent="0.25">
      <c r="A11" s="11" t="s">
        <v>10</v>
      </c>
      <c r="B11" s="13" t="s">
        <v>2</v>
      </c>
      <c r="C11" s="12">
        <v>4.2799999999999998E-2</v>
      </c>
      <c r="D11" s="12">
        <v>3.9300000000000002E-2</v>
      </c>
      <c r="E11" s="12">
        <v>3.5099999999999999E-2</v>
      </c>
      <c r="F11" s="12">
        <v>3.5099999999999999E-2</v>
      </c>
      <c r="G11" s="12">
        <v>3.61E-2</v>
      </c>
      <c r="H11" s="12">
        <v>4.1200000000000001E-2</v>
      </c>
      <c r="I11" s="12">
        <v>4.2999999999999997E-2</v>
      </c>
      <c r="J11" s="12">
        <v>4.5600000000000002E-2</v>
      </c>
      <c r="K11" s="12">
        <v>4.82E-2</v>
      </c>
      <c r="L11" s="12">
        <v>5.11E-2</v>
      </c>
      <c r="N11" s="35"/>
    </row>
    <row r="12" spans="1:14" s="5" customFormat="1" x14ac:dyDescent="0.25">
      <c r="A12" s="11"/>
      <c r="C12" s="85"/>
      <c r="D12" s="85"/>
      <c r="E12" s="85"/>
      <c r="F12" s="85"/>
      <c r="G12" s="85"/>
      <c r="H12" s="85"/>
      <c r="I12" s="85"/>
      <c r="J12" s="85"/>
      <c r="K12" s="85"/>
      <c r="L12" s="85"/>
      <c r="N12" s="35"/>
    </row>
    <row r="13" spans="1:14" s="5" customFormat="1" x14ac:dyDescent="0.25">
      <c r="A13" s="11" t="s">
        <v>11</v>
      </c>
      <c r="B13" s="4" t="s">
        <v>3</v>
      </c>
      <c r="C13" s="12">
        <v>0.41299999999999998</v>
      </c>
      <c r="D13" s="12">
        <v>0.436</v>
      </c>
      <c r="E13" s="12">
        <v>0.47600000000000003</v>
      </c>
      <c r="F13" s="12">
        <v>0.49700000000000005</v>
      </c>
      <c r="G13" s="12">
        <v>0.54100000000000004</v>
      </c>
      <c r="H13" s="12">
        <v>0.52700000000000002</v>
      </c>
      <c r="I13" s="12">
        <v>0.56299999999999994</v>
      </c>
      <c r="J13" s="12">
        <v>0.54900000000000004</v>
      </c>
      <c r="K13" s="12">
        <v>0.54400000000000004</v>
      </c>
      <c r="L13" s="12">
        <v>0.52</v>
      </c>
      <c r="N13" s="35"/>
    </row>
    <row r="14" spans="1:14" s="3" customFormat="1" x14ac:dyDescent="0.25">
      <c r="A14" s="3" t="s">
        <v>25</v>
      </c>
      <c r="B14" s="8" t="s">
        <v>20</v>
      </c>
      <c r="C14" s="9">
        <v>2.7010000000000001</v>
      </c>
      <c r="D14" s="9">
        <v>2.4609999999999999</v>
      </c>
      <c r="E14" s="9">
        <v>1.7210000000000001</v>
      </c>
      <c r="F14" s="9">
        <v>1.7989999999999999</v>
      </c>
      <c r="G14" s="9">
        <v>2.14</v>
      </c>
      <c r="H14" s="9">
        <v>1.6919999999999999</v>
      </c>
      <c r="I14" s="9">
        <v>2.0699999999999998</v>
      </c>
      <c r="J14" s="21">
        <v>0</v>
      </c>
      <c r="K14" s="21">
        <v>0</v>
      </c>
      <c r="L14" s="21">
        <v>0</v>
      </c>
      <c r="N14" s="35"/>
    </row>
    <row r="15" spans="1:14" s="5" customFormat="1" x14ac:dyDescent="0.25">
      <c r="A15" s="11" t="s">
        <v>12</v>
      </c>
      <c r="B15" s="13" t="s">
        <v>4</v>
      </c>
      <c r="C15" s="12">
        <f>1-(C18/C17)</f>
        <v>3.6449153624039776E-2</v>
      </c>
      <c r="D15" s="12">
        <f>1-(D18/D17)</f>
        <v>4.3170261031855728E-2</v>
      </c>
      <c r="E15" s="12">
        <f>1-(E18/E17)</f>
        <v>4.9337752356268694E-2</v>
      </c>
      <c r="F15" s="12">
        <f>1-(F18/F17)</f>
        <v>5.3116864392780849E-2</v>
      </c>
      <c r="G15" s="12">
        <f t="shared" ref="G15:L15" si="2">1-(G18/G17)</f>
        <v>5.759548833843442E-2</v>
      </c>
      <c r="H15" s="12">
        <f t="shared" si="2"/>
        <v>5.1652507441237505E-2</v>
      </c>
      <c r="I15" s="12">
        <f t="shared" si="2"/>
        <v>7.7193696171237502E-2</v>
      </c>
      <c r="J15" s="12">
        <f t="shared" si="2"/>
        <v>9.1760068266616535E-2</v>
      </c>
      <c r="K15" s="12">
        <f t="shared" si="2"/>
        <v>0.13791246383551425</v>
      </c>
      <c r="L15" s="12">
        <f t="shared" si="2"/>
        <v>0.158671930491598</v>
      </c>
      <c r="N15" s="35"/>
    </row>
    <row r="16" spans="1:14" s="5" customFormat="1" x14ac:dyDescent="0.25">
      <c r="A16" s="11"/>
      <c r="C16" s="12"/>
      <c r="D16" s="12"/>
      <c r="E16" s="12"/>
      <c r="F16" s="12"/>
      <c r="G16" s="12"/>
      <c r="H16" s="12"/>
      <c r="I16" s="12"/>
      <c r="J16" s="12"/>
      <c r="K16" s="12"/>
      <c r="L16" s="12"/>
      <c r="N16" s="35"/>
    </row>
    <row r="17" spans="1:14" s="5" customFormat="1" x14ac:dyDescent="0.25">
      <c r="A17" s="3" t="s">
        <v>16</v>
      </c>
      <c r="B17" s="1" t="s">
        <v>6</v>
      </c>
      <c r="C17" s="7">
        <v>24334694</v>
      </c>
      <c r="D17" s="7">
        <v>22466415</v>
      </c>
      <c r="E17" s="7">
        <v>19643558</v>
      </c>
      <c r="F17" s="7">
        <v>17610471</v>
      </c>
      <c r="G17" s="7">
        <v>14575916</v>
      </c>
      <c r="H17" s="7">
        <v>13605264</v>
      </c>
      <c r="I17" s="7">
        <v>9001577</v>
      </c>
      <c r="J17" s="7">
        <v>7835162</v>
      </c>
      <c r="K17" s="7">
        <v>6571364</v>
      </c>
      <c r="L17" s="7">
        <v>6483245</v>
      </c>
      <c r="N17" s="35"/>
    </row>
    <row r="18" spans="1:14" s="5" customFormat="1" x14ac:dyDescent="0.25">
      <c r="A18" s="3" t="s">
        <v>16</v>
      </c>
      <c r="B18" s="2" t="s">
        <v>22</v>
      </c>
      <c r="C18" s="7">
        <v>23447715</v>
      </c>
      <c r="D18" s="7">
        <v>21496534</v>
      </c>
      <c r="E18" s="7">
        <v>18674389</v>
      </c>
      <c r="F18" s="7">
        <v>16675058</v>
      </c>
      <c r="G18" s="7">
        <v>13736409</v>
      </c>
      <c r="H18" s="7">
        <v>12902518</v>
      </c>
      <c r="I18" s="7">
        <v>8306712</v>
      </c>
      <c r="J18" s="7">
        <v>7116207</v>
      </c>
      <c r="K18" s="7">
        <v>5665091</v>
      </c>
      <c r="L18" s="7">
        <v>5454536</v>
      </c>
      <c r="N18" s="35"/>
    </row>
    <row r="19" spans="1:14" s="5" customFormat="1" x14ac:dyDescent="0.25">
      <c r="A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N19" s="35"/>
    </row>
    <row r="20" spans="1:14" s="5" customFormat="1" x14ac:dyDescent="0.25">
      <c r="A20" s="11" t="s">
        <v>13</v>
      </c>
      <c r="B20" s="15" t="s">
        <v>5</v>
      </c>
      <c r="C20" s="12">
        <v>0.20300000000000001</v>
      </c>
      <c r="D20" s="12">
        <v>0.189</v>
      </c>
      <c r="E20" s="12">
        <v>0.17799999999999999</v>
      </c>
      <c r="F20" s="12">
        <v>0.191</v>
      </c>
      <c r="G20" s="12">
        <v>0.17699999999999999</v>
      </c>
      <c r="H20" s="12">
        <v>0.16800000000000001</v>
      </c>
      <c r="I20" s="12">
        <v>0.183</v>
      </c>
      <c r="J20" s="12">
        <v>0.14599999999999999</v>
      </c>
      <c r="K20" s="12">
        <v>0.16</v>
      </c>
      <c r="L20" s="12">
        <v>0.16200000000000001</v>
      </c>
      <c r="N20" s="35"/>
    </row>
    <row r="21" spans="1:14" s="5" customFormat="1" x14ac:dyDescent="0.25">
      <c r="A21" s="11" t="s">
        <v>14</v>
      </c>
      <c r="B21" s="15" t="s">
        <v>17</v>
      </c>
      <c r="C21" s="14">
        <f>C23/C24</f>
        <v>0.76847051665078814</v>
      </c>
      <c r="D21" s="14">
        <f t="shared" ref="D21:L21" si="3">D23/D24</f>
        <v>0.72880158421741481</v>
      </c>
      <c r="E21" s="14">
        <f t="shared" si="3"/>
        <v>0.77985271631583952</v>
      </c>
      <c r="F21" s="14">
        <f t="shared" si="3"/>
        <v>0.79422149636257633</v>
      </c>
      <c r="G21" s="14">
        <f t="shared" si="3"/>
        <v>0.802967382622498</v>
      </c>
      <c r="H21" s="14">
        <f t="shared" si="3"/>
        <v>0.83670128019269152</v>
      </c>
      <c r="I21" s="14">
        <f t="shared" si="3"/>
        <v>0.77953212018972218</v>
      </c>
      <c r="J21" s="14">
        <f t="shared" si="3"/>
        <v>0.75074346979271001</v>
      </c>
      <c r="K21" s="14">
        <f t="shared" si="3"/>
        <v>0.77967291382902482</v>
      </c>
      <c r="L21" s="14">
        <f t="shared" si="3"/>
        <v>0.80783720757815625</v>
      </c>
      <c r="N21" s="35"/>
    </row>
    <row r="23" spans="1:14" x14ac:dyDescent="0.25">
      <c r="A23" s="3" t="s">
        <v>16</v>
      </c>
      <c r="B23" s="1" t="s">
        <v>6</v>
      </c>
      <c r="C23" s="7">
        <v>24334694</v>
      </c>
      <c r="D23" s="7">
        <v>21447380</v>
      </c>
      <c r="E23" s="7">
        <v>19643558</v>
      </c>
      <c r="F23" s="7">
        <v>17610471</v>
      </c>
      <c r="G23" s="7">
        <v>14575916</v>
      </c>
      <c r="H23" s="7">
        <v>13605264</v>
      </c>
      <c r="I23" s="7">
        <v>9001577</v>
      </c>
      <c r="J23" s="7">
        <v>7835162</v>
      </c>
      <c r="K23" s="7">
        <v>6571364</v>
      </c>
      <c r="L23" s="7">
        <v>6483245</v>
      </c>
    </row>
    <row r="24" spans="1:14" x14ac:dyDescent="0.25">
      <c r="A24" s="3" t="s">
        <v>16</v>
      </c>
      <c r="B24" s="2" t="s">
        <v>7</v>
      </c>
      <c r="C24" s="7">
        <v>31666399</v>
      </c>
      <c r="D24" s="7">
        <v>29428284</v>
      </c>
      <c r="E24" s="7">
        <v>25188805</v>
      </c>
      <c r="F24" s="7">
        <v>22173249</v>
      </c>
      <c r="G24" s="7">
        <v>18152563</v>
      </c>
      <c r="H24" s="7">
        <v>16260599</v>
      </c>
      <c r="I24" s="7">
        <v>11547410</v>
      </c>
      <c r="J24" s="7">
        <v>10436537</v>
      </c>
      <c r="K24" s="7">
        <v>8428360</v>
      </c>
      <c r="L24" s="7">
        <v>8025435</v>
      </c>
    </row>
    <row r="25" spans="1:14" x14ac:dyDescent="0.25">
      <c r="C25" s="72"/>
      <c r="D25" s="72"/>
      <c r="E25" s="72"/>
      <c r="F25" s="72"/>
      <c r="G25" s="72"/>
      <c r="H25" s="72"/>
      <c r="I25" s="72"/>
      <c r="J25" s="72"/>
      <c r="K25" s="72"/>
    </row>
    <row r="27" spans="1:14" s="5" customFormat="1" x14ac:dyDescent="0.25">
      <c r="A27" t="s">
        <v>23</v>
      </c>
      <c r="B27" s="4" t="s">
        <v>18</v>
      </c>
      <c r="C27" s="5">
        <v>5.6</v>
      </c>
      <c r="D27" s="5">
        <v>4.5</v>
      </c>
      <c r="E27" s="5">
        <v>8.1999999999999993</v>
      </c>
      <c r="F27" s="5">
        <v>10.199999999999999</v>
      </c>
      <c r="G27" s="5">
        <v>14.4</v>
      </c>
      <c r="H27" s="5">
        <v>10.5</v>
      </c>
      <c r="I27" s="5">
        <v>9.9</v>
      </c>
      <c r="J27" s="5">
        <v>10.7</v>
      </c>
      <c r="K27" s="5">
        <v>11.6</v>
      </c>
      <c r="L27" s="5">
        <v>26.6</v>
      </c>
    </row>
    <row r="28" spans="1:14" s="3" customFormat="1" x14ac:dyDescent="0.25">
      <c r="B28" s="8" t="s">
        <v>21</v>
      </c>
      <c r="C28" s="3">
        <v>5.6</v>
      </c>
      <c r="D28" s="3">
        <v>4.9000000000000004</v>
      </c>
      <c r="E28" s="3">
        <v>4.8</v>
      </c>
      <c r="F28" s="3">
        <v>9.4</v>
      </c>
      <c r="G28" s="3">
        <v>12.1</v>
      </c>
      <c r="H28" s="3">
        <v>10.3</v>
      </c>
      <c r="I28" s="3">
        <v>9.6999999999999993</v>
      </c>
      <c r="J28" s="3">
        <v>10.6</v>
      </c>
      <c r="K28" s="3">
        <v>11.7</v>
      </c>
      <c r="L28" s="20">
        <v>14</v>
      </c>
    </row>
    <row r="29" spans="1:14" s="5" customFormat="1" x14ac:dyDescent="0.25">
      <c r="A29" t="s">
        <v>24</v>
      </c>
      <c r="B29" s="13" t="s">
        <v>19</v>
      </c>
      <c r="C29" s="5">
        <v>1.1000000000000001</v>
      </c>
      <c r="D29" s="5">
        <v>1</v>
      </c>
      <c r="E29" s="5">
        <v>0.7</v>
      </c>
      <c r="F29" s="5">
        <v>1.3</v>
      </c>
      <c r="G29" s="5">
        <v>1.5</v>
      </c>
      <c r="H29" s="5">
        <v>1.9</v>
      </c>
      <c r="I29" s="5">
        <v>1.7</v>
      </c>
      <c r="J29" s="5">
        <v>1.8</v>
      </c>
      <c r="K29" s="5">
        <v>1.7</v>
      </c>
      <c r="L29" s="5">
        <v>1.4</v>
      </c>
    </row>
    <row r="31" spans="1:14" x14ac:dyDescent="0.25">
      <c r="B31" s="24" t="s">
        <v>40</v>
      </c>
      <c r="C31">
        <v>21690</v>
      </c>
      <c r="D31">
        <v>15880</v>
      </c>
      <c r="E31">
        <v>10110</v>
      </c>
      <c r="F31">
        <v>16600</v>
      </c>
      <c r="G31">
        <v>13360</v>
      </c>
      <c r="H31">
        <v>15430</v>
      </c>
      <c r="I31">
        <v>11290</v>
      </c>
      <c r="J31">
        <v>10720</v>
      </c>
      <c r="K31">
        <v>8400</v>
      </c>
      <c r="L31">
        <v>6000</v>
      </c>
      <c r="M31">
        <v>3811</v>
      </c>
    </row>
    <row r="32" spans="1:14" x14ac:dyDescent="0.25">
      <c r="C32" s="93"/>
    </row>
    <row r="33" spans="2:20" x14ac:dyDescent="0.25">
      <c r="B33" s="33" t="s">
        <v>39</v>
      </c>
      <c r="C33" s="100">
        <f>(C31/F31)^(1/3)-1</f>
        <v>9.3244131283434672E-2</v>
      </c>
      <c r="D33" s="100"/>
      <c r="E33" s="100"/>
      <c r="F33" s="100">
        <f>(F31/H31)^(1/2)-1</f>
        <v>3.7220474334402676E-2</v>
      </c>
      <c r="G33" s="100"/>
      <c r="H33" s="100">
        <f>(H31/M31)^(1/5)-1</f>
        <v>0.32271231022355318</v>
      </c>
      <c r="I33" s="100"/>
      <c r="J33" s="100"/>
      <c r="K33" s="100"/>
      <c r="L33" s="100"/>
      <c r="M33" s="12">
        <f>(C31/M31)^(1/10)-1</f>
        <v>0.18993177112984116</v>
      </c>
      <c r="N33" s="3" t="s">
        <v>81</v>
      </c>
    </row>
    <row r="35" spans="2:20" x14ac:dyDescent="0.25">
      <c r="B35" s="80"/>
      <c r="C35" s="80">
        <v>2015</v>
      </c>
      <c r="D35" s="80">
        <v>2016</v>
      </c>
      <c r="E35" s="80">
        <v>2017</v>
      </c>
      <c r="F35" s="80">
        <v>2018</v>
      </c>
      <c r="G35" s="80">
        <v>2019</v>
      </c>
      <c r="H35" s="81" t="s">
        <v>64</v>
      </c>
      <c r="I35" s="81" t="s">
        <v>65</v>
      </c>
      <c r="K35" s="80">
        <v>2020</v>
      </c>
      <c r="L35" s="80">
        <v>2021</v>
      </c>
      <c r="M35" s="81" t="s">
        <v>64</v>
      </c>
      <c r="N35" s="81" t="s">
        <v>65</v>
      </c>
      <c r="P35" s="80">
        <v>2022</v>
      </c>
      <c r="Q35" s="80">
        <v>2023</v>
      </c>
      <c r="R35" s="80">
        <v>2024</v>
      </c>
      <c r="S35" s="81" t="s">
        <v>64</v>
      </c>
      <c r="T35" s="81" t="s">
        <v>65</v>
      </c>
    </row>
    <row r="36" spans="2:20" x14ac:dyDescent="0.25">
      <c r="B36" s="80" t="s">
        <v>62</v>
      </c>
      <c r="C36" s="71">
        <f>VLOOKUP($B36,$B:$L,11,0)</f>
        <v>9.7470208542230874E-2</v>
      </c>
      <c r="D36" s="71">
        <f>VLOOKUP($B36,$B:$L,10,0)</f>
        <v>0.14160841868158941</v>
      </c>
      <c r="E36" s="71">
        <f>VLOOKUP($B36,$B:$L,9,0)</f>
        <v>0.1732088253137852</v>
      </c>
      <c r="F36" s="71">
        <f>VLOOKUP($B36,$B:$L,8,0)</f>
        <v>0.17810404471118552</v>
      </c>
      <c r="G36" s="71">
        <f>VLOOKUP($B36,$B:$L,7,0)</f>
        <v>0.18288927450412171</v>
      </c>
      <c r="H36" s="71">
        <f>AVERAGE(C36:G36)</f>
        <v>0.15465615435058253</v>
      </c>
      <c r="I36" s="71">
        <f>_xlfn.STDEV.P(C36:G36)</f>
        <v>3.2036198400932615E-2</v>
      </c>
      <c r="K36" s="71">
        <f>VLOOKUP($B36,$B:$L,6,0)</f>
        <v>0.12229180264805023</v>
      </c>
      <c r="L36" s="71">
        <f>VLOOKUP($B36,$B:$L,5,0)</f>
        <v>0.16362867603233178</v>
      </c>
      <c r="M36" s="71">
        <f>AVERAGE(K36:L36)</f>
        <v>0.142960239340191</v>
      </c>
      <c r="N36" s="71">
        <f>_xlfn.STDEV.P(K36:L36)</f>
        <v>2.0668436692140805E-2</v>
      </c>
      <c r="P36" s="71">
        <f>VLOOKUP($B36,$B:$L,4,0)</f>
        <v>0.17835380903419065</v>
      </c>
      <c r="Q36" s="71">
        <f>VLOOKUP($B36,$B:$L,3,0)</f>
        <v>0.22100067085198202</v>
      </c>
      <c r="R36" s="71">
        <f>VLOOKUP($B36,$B:$L,2,0)</f>
        <v>0.21018290582131449</v>
      </c>
      <c r="S36" s="71">
        <f>AVERAGE(P36:R36)</f>
        <v>0.2031791285691624</v>
      </c>
      <c r="T36" s="71">
        <f>_xlfn.STDEV.P(P36:R36)</f>
        <v>1.8101167136859258E-2</v>
      </c>
    </row>
    <row r="37" spans="2:20" x14ac:dyDescent="0.25">
      <c r="B37" s="80" t="s">
        <v>63</v>
      </c>
      <c r="C37" s="71">
        <f>VLOOKUP(B37,B:L,11,0)</f>
        <v>1.1218089854432118E-2</v>
      </c>
      <c r="D37" s="71">
        <f>VLOOKUP($B37,$B:$L,10,0)</f>
        <v>1.7947654933191875E-2</v>
      </c>
      <c r="E37" s="71">
        <f>VLOOKUP($B37,$B:$L,9,0)</f>
        <v>2.1536549633562059E-2</v>
      </c>
      <c r="F37" s="71">
        <f>VLOOKUP($B37,$B:$L,8,0)</f>
        <v>2.2298051964430039E-2</v>
      </c>
      <c r="G37" s="71">
        <f>VLOOKUP($B37,$B:$L,7,0)</f>
        <v>2.0825805208856657E-2</v>
      </c>
      <c r="H37" s="71">
        <f>AVERAGE(C37:G37)</f>
        <v>1.876523031889455E-2</v>
      </c>
      <c r="I37" s="71">
        <f>_xlfn.STDEV.P(C37:G37)</f>
        <v>4.0505497676683027E-3</v>
      </c>
      <c r="K37" s="71">
        <f>VLOOKUP($B37,$B:$L,6,0)</f>
        <v>1.3295771084487592E-2</v>
      </c>
      <c r="L37" s="71">
        <f>VLOOKUP($B37,$B:$L,5,0)</f>
        <v>1.8034155078737336E-2</v>
      </c>
      <c r="M37" s="71">
        <f>AVERAGE(K37:L37)</f>
        <v>1.5664963081612464E-2</v>
      </c>
      <c r="N37" s="71">
        <f>_xlfn.STDEV.P(K37:L37)</f>
        <v>2.3691919971248719E-3</v>
      </c>
      <c r="P37" s="71">
        <f>VLOOKUP($B37,$B:$L,4,0)</f>
        <v>1.806313884711749E-2</v>
      </c>
      <c r="Q37" s="71">
        <f>VLOOKUP($B37,$B:$L,3,0)</f>
        <v>2.2847047641322418E-2</v>
      </c>
      <c r="R37" s="71">
        <f>VLOOKUP($B37,$B:$L,2,0)</f>
        <v>2.4784905859924225E-2</v>
      </c>
      <c r="S37" s="71">
        <f>AVERAGE(P37:R37)</f>
        <v>2.1898364116121376E-2</v>
      </c>
      <c r="T37" s="71">
        <f>_xlfn.STDEV.P(P37:R37)</f>
        <v>2.8249528924514946E-3</v>
      </c>
    </row>
    <row r="38" spans="2:20" x14ac:dyDescent="0.25">
      <c r="B38" s="80" t="s">
        <v>2</v>
      </c>
      <c r="C38" s="71">
        <f>VLOOKUP(B38,B:L,11,0)</f>
        <v>5.11E-2</v>
      </c>
      <c r="D38" s="71">
        <f>VLOOKUP($B38,$B:$L,10,0)</f>
        <v>4.82E-2</v>
      </c>
      <c r="E38" s="71">
        <f>VLOOKUP($B38,$B:$L,9,0)</f>
        <v>4.5600000000000002E-2</v>
      </c>
      <c r="F38" s="71">
        <f>VLOOKUP($B38,$B:$L,8,0)</f>
        <v>4.2999999999999997E-2</v>
      </c>
      <c r="G38" s="71">
        <f>VLOOKUP($B38,$B:$L,7,0)</f>
        <v>4.1200000000000001E-2</v>
      </c>
      <c r="H38" s="71">
        <f>AVERAGE(C38:G38)</f>
        <v>4.5820000000000007E-2</v>
      </c>
      <c r="I38" s="71">
        <f>_xlfn.STDEV.P(C38:G38)</f>
        <v>3.5464912237308586E-3</v>
      </c>
      <c r="K38" s="71">
        <f>VLOOKUP($B38,$B:$L,6,0)</f>
        <v>3.61E-2</v>
      </c>
      <c r="L38" s="71">
        <f>VLOOKUP($B38,$B:$L,5,0)</f>
        <v>3.5099999999999999E-2</v>
      </c>
      <c r="M38" s="71">
        <f>AVERAGE(K38:L38)</f>
        <v>3.56E-2</v>
      </c>
      <c r="N38" s="71">
        <f>_xlfn.STDEV.P(K38:L38)</f>
        <v>5.0000000000000044E-4</v>
      </c>
      <c r="P38" s="71">
        <f>VLOOKUP($B38,$B:$L,4,0)</f>
        <v>3.5099999999999999E-2</v>
      </c>
      <c r="Q38" s="71">
        <f>VLOOKUP($B38,$B:$L,3,0)</f>
        <v>3.9300000000000002E-2</v>
      </c>
      <c r="R38" s="71">
        <f>VLOOKUP($B38,$B:$L,2,0)</f>
        <v>4.2799999999999998E-2</v>
      </c>
      <c r="S38" s="71">
        <f>AVERAGE(P38:R38)</f>
        <v>3.9066666666666666E-2</v>
      </c>
      <c r="T38" s="71">
        <f>_xlfn.STDEV.P(P38:R38)</f>
        <v>3.1478387647541424E-3</v>
      </c>
    </row>
    <row r="41" spans="2:20" x14ac:dyDescent="0.25">
      <c r="B41" s="80"/>
      <c r="C41" s="80">
        <v>2015</v>
      </c>
      <c r="D41" s="80">
        <v>2016</v>
      </c>
      <c r="E41" s="80">
        <v>2017</v>
      </c>
      <c r="F41" s="80">
        <v>2018</v>
      </c>
      <c r="G41" s="80">
        <v>2019</v>
      </c>
      <c r="H41" s="81" t="s">
        <v>64</v>
      </c>
      <c r="I41" s="81" t="s">
        <v>65</v>
      </c>
      <c r="K41" s="80">
        <v>2020</v>
      </c>
      <c r="L41" s="80">
        <v>2021</v>
      </c>
      <c r="M41" s="81" t="s">
        <v>64</v>
      </c>
      <c r="N41" s="81" t="s">
        <v>65</v>
      </c>
      <c r="P41" s="80">
        <v>2022</v>
      </c>
      <c r="Q41" s="80">
        <v>2023</v>
      </c>
      <c r="R41" s="80">
        <v>2024</v>
      </c>
      <c r="S41" s="81" t="s">
        <v>64</v>
      </c>
      <c r="T41" s="81" t="s">
        <v>65</v>
      </c>
    </row>
    <row r="42" spans="2:20" x14ac:dyDescent="0.25">
      <c r="B42" s="80" t="s">
        <v>3</v>
      </c>
      <c r="C42" s="71">
        <f>VLOOKUP($B42,$B:$L,11,0)</f>
        <v>0.52</v>
      </c>
      <c r="D42" s="71">
        <f>VLOOKUP($B42,$B:$L,10,0)</f>
        <v>0.54400000000000004</v>
      </c>
      <c r="E42" s="71">
        <f>VLOOKUP($B42,$B:$L,9,0)</f>
        <v>0.54900000000000004</v>
      </c>
      <c r="F42" s="71">
        <f>VLOOKUP($B42,$B:$L,8,0)</f>
        <v>0.56299999999999994</v>
      </c>
      <c r="G42" s="71">
        <f>VLOOKUP($B42,$B:$L,7,0)</f>
        <v>0.52700000000000002</v>
      </c>
      <c r="H42" s="71">
        <f>AVERAGE(C42:G42)</f>
        <v>0.54060000000000008</v>
      </c>
      <c r="I42" s="71">
        <f>_xlfn.STDEV.P(C42:G42)</f>
        <v>1.5447977213861996E-2</v>
      </c>
      <c r="K42" s="71">
        <f>VLOOKUP($B42,$B:$L,6,0)</f>
        <v>0.54100000000000004</v>
      </c>
      <c r="L42" s="71">
        <f>VLOOKUP($B42,$B:$L,5,0)</f>
        <v>0.49700000000000005</v>
      </c>
      <c r="M42" s="71">
        <f>AVERAGE(K42:L42)</f>
        <v>0.51900000000000002</v>
      </c>
      <c r="N42" s="71">
        <f>_xlfn.STDEV.P(K42:L42)</f>
        <v>2.1999999999999992E-2</v>
      </c>
      <c r="P42" s="71">
        <f>VLOOKUP($B42,$B:$L,4,0)</f>
        <v>0.47600000000000003</v>
      </c>
      <c r="Q42" s="71">
        <f>VLOOKUP($B42,$B:$L,3,0)</f>
        <v>0.436</v>
      </c>
      <c r="R42" s="71">
        <f>VLOOKUP($B42,$B:$L,2,0)</f>
        <v>0.41299999999999998</v>
      </c>
      <c r="S42" s="71">
        <f>AVERAGE(P42:R42)</f>
        <v>0.44166666666666665</v>
      </c>
      <c r="T42" s="71">
        <f>_xlfn.STDEV.P(P42:R42)</f>
        <v>2.6029897340472875E-2</v>
      </c>
    </row>
    <row r="43" spans="2:20" x14ac:dyDescent="0.25">
      <c r="B43" s="80" t="s">
        <v>4</v>
      </c>
      <c r="C43" s="71">
        <f>VLOOKUP(B43,B:L,11,0)</f>
        <v>0.158671930491598</v>
      </c>
      <c r="D43" s="71">
        <f>VLOOKUP($B43,$B:$L,10,0)</f>
        <v>0.13791246383551425</v>
      </c>
      <c r="E43" s="71">
        <f>VLOOKUP($B43,$B:$L,9,0)</f>
        <v>9.1760068266616535E-2</v>
      </c>
      <c r="F43" s="71">
        <f>VLOOKUP($B43,$B:$L,8,0)</f>
        <v>7.7193696171237502E-2</v>
      </c>
      <c r="G43" s="71">
        <f>VLOOKUP($B43,$B:$L,7,0)</f>
        <v>5.1652507441237505E-2</v>
      </c>
      <c r="H43" s="71">
        <f>AVERAGE(C43:G43)</f>
        <v>0.10343813324124077</v>
      </c>
      <c r="I43" s="71">
        <f>_xlfn.STDEV.P(C43:G43)</f>
        <v>3.936026053467561E-2</v>
      </c>
      <c r="K43" s="71">
        <f>VLOOKUP($B43,$B:$L,6,0)</f>
        <v>5.759548833843442E-2</v>
      </c>
      <c r="L43" s="71">
        <f>VLOOKUP($B43,$B:$L,5,0)</f>
        <v>5.3116864392780849E-2</v>
      </c>
      <c r="M43" s="71">
        <f>AVERAGE(K43:L43)</f>
        <v>5.5356176365607634E-2</v>
      </c>
      <c r="N43" s="71">
        <f>_xlfn.STDEV.P(K43:L43)</f>
        <v>2.2393119728267852E-3</v>
      </c>
      <c r="P43" s="71">
        <f>VLOOKUP($B43,$B:$L,4,0)</f>
        <v>4.9337752356268694E-2</v>
      </c>
      <c r="Q43" s="71">
        <f>VLOOKUP($B43,$B:$L,3,0)</f>
        <v>4.3170261031855728E-2</v>
      </c>
      <c r="R43" s="71">
        <f>VLOOKUP($B43,$B:$L,2,0)</f>
        <v>3.6449153624039776E-2</v>
      </c>
      <c r="S43" s="71">
        <f>AVERAGE(P43:R43)</f>
        <v>4.2985722337388066E-2</v>
      </c>
      <c r="T43" s="71">
        <f>_xlfn.STDEV.P(P43:R43)</f>
        <v>5.2633661736839147E-3</v>
      </c>
    </row>
    <row r="46" spans="2:20" x14ac:dyDescent="0.25">
      <c r="B46" s="80"/>
      <c r="C46" s="80">
        <v>2015</v>
      </c>
      <c r="D46" s="80">
        <v>2016</v>
      </c>
      <c r="E46" s="80">
        <v>2017</v>
      </c>
      <c r="F46" s="80">
        <v>2018</v>
      </c>
      <c r="G46" s="80">
        <v>2019</v>
      </c>
      <c r="H46" s="81" t="s">
        <v>64</v>
      </c>
      <c r="I46" s="81" t="s">
        <v>65</v>
      </c>
      <c r="K46" s="80">
        <v>2020</v>
      </c>
      <c r="L46" s="80">
        <v>2021</v>
      </c>
      <c r="M46" s="81" t="s">
        <v>64</v>
      </c>
      <c r="N46" s="81" t="s">
        <v>65</v>
      </c>
      <c r="P46" s="80">
        <v>2022</v>
      </c>
      <c r="Q46" s="80">
        <v>2023</v>
      </c>
      <c r="R46" s="80">
        <v>2024</v>
      </c>
      <c r="S46" s="81" t="s">
        <v>64</v>
      </c>
      <c r="T46" s="81" t="s">
        <v>65</v>
      </c>
    </row>
    <row r="47" spans="2:20" x14ac:dyDescent="0.25">
      <c r="B47" s="80" t="s">
        <v>5</v>
      </c>
      <c r="C47" s="71">
        <f>VLOOKUP($B47,$B:$L,11,0)</f>
        <v>0.16200000000000001</v>
      </c>
      <c r="D47" s="71">
        <f>VLOOKUP($B47,$B:$L,10,0)</f>
        <v>0.16</v>
      </c>
      <c r="E47" s="71">
        <f>VLOOKUP($B47,$B:$L,9,0)</f>
        <v>0.14599999999999999</v>
      </c>
      <c r="F47" s="71">
        <f>VLOOKUP($B47,$B:$L,8,0)</f>
        <v>0.183</v>
      </c>
      <c r="G47" s="71">
        <f>VLOOKUP($B47,$B:$L,7,0)</f>
        <v>0.16800000000000001</v>
      </c>
      <c r="H47" s="71">
        <f>AVERAGE(C47:G47)</f>
        <v>0.1638</v>
      </c>
      <c r="I47" s="71">
        <f>_xlfn.STDEV.P(C47:G47)</f>
        <v>1.2006664815842909E-2</v>
      </c>
      <c r="K47" s="71">
        <f>VLOOKUP($B47,$B:$L,6,0)</f>
        <v>0.17699999999999999</v>
      </c>
      <c r="L47" s="71">
        <f>VLOOKUP($B47,$B:$L,5,0)</f>
        <v>0.191</v>
      </c>
      <c r="M47" s="71">
        <f>AVERAGE(K47:L47)</f>
        <v>0.184</v>
      </c>
      <c r="N47" s="71">
        <f>_xlfn.STDEV.P(K47:L47)</f>
        <v>7.0000000000000062E-3</v>
      </c>
      <c r="P47" s="71">
        <f>VLOOKUP($B47,$B:$L,4,0)</f>
        <v>0.17799999999999999</v>
      </c>
      <c r="Q47" s="71">
        <f>VLOOKUP($B47,$B:$L,3,0)</f>
        <v>0.189</v>
      </c>
      <c r="R47" s="71">
        <f>VLOOKUP($B47,$B:$L,2,0)</f>
        <v>0.20300000000000001</v>
      </c>
      <c r="S47" s="71">
        <f>AVERAGE(P47:R47)</f>
        <v>0.19000000000000003</v>
      </c>
      <c r="T47" s="71">
        <f>_xlfn.STDEV.P(P47:R47)</f>
        <v>1.0230672835481881E-2</v>
      </c>
    </row>
    <row r="48" spans="2:20" x14ac:dyDescent="0.25">
      <c r="B48" s="80" t="s">
        <v>20</v>
      </c>
      <c r="C48" s="71">
        <f>VLOOKUP(B48,B:L,11,0)</f>
        <v>0</v>
      </c>
      <c r="D48" s="71">
        <f>VLOOKUP($B48,$B:$L,10,0)</f>
        <v>0</v>
      </c>
      <c r="E48" s="71">
        <f>VLOOKUP($B48,$B:$L,9,0)</f>
        <v>0</v>
      </c>
      <c r="F48" s="71">
        <f>VLOOKUP($B48,$B:$L,8,0)</f>
        <v>2.0699999999999998</v>
      </c>
      <c r="G48" s="71">
        <f>VLOOKUP($B48,$B:$L,7,0)</f>
        <v>1.6919999999999999</v>
      </c>
      <c r="H48" s="71">
        <f>AVERAGE(F48:G48)</f>
        <v>1.8809999999999998</v>
      </c>
      <c r="I48" s="71">
        <f>_xlfn.STDEV.P(F48:G48)</f>
        <v>0.18899999999999995</v>
      </c>
      <c r="K48" s="71">
        <f>VLOOKUP($B48,$B:$L,6,0)</f>
        <v>2.14</v>
      </c>
      <c r="L48" s="71">
        <f>VLOOKUP($B48,$B:$L,5,0)</f>
        <v>1.7989999999999999</v>
      </c>
      <c r="M48" s="71">
        <f>AVERAGE(K48:L48)</f>
        <v>1.9695</v>
      </c>
      <c r="N48" s="71">
        <f>_xlfn.STDEV.P(K48:L48)</f>
        <v>0.1705000000000001</v>
      </c>
      <c r="P48" s="71">
        <f>VLOOKUP($B48,$B:$L,4,0)</f>
        <v>1.7210000000000001</v>
      </c>
      <c r="Q48" s="71">
        <f>VLOOKUP($B48,$B:$L,3,0)</f>
        <v>2.4609999999999999</v>
      </c>
      <c r="R48" s="71">
        <f>VLOOKUP($B48,$B:$L,2,0)</f>
        <v>2.7010000000000001</v>
      </c>
      <c r="S48" s="71">
        <f>AVERAGE(P48:R48)</f>
        <v>2.2943333333333338</v>
      </c>
      <c r="T48" s="71">
        <f>_xlfn.STDEV.P(P48:R48)</f>
        <v>0.41707979518978661</v>
      </c>
    </row>
    <row r="49" spans="2:20" x14ac:dyDescent="0.25">
      <c r="B49" s="80" t="s">
        <v>17</v>
      </c>
      <c r="C49" s="71">
        <f>VLOOKUP(B49,B:L,11,0)</f>
        <v>0.80783720757815625</v>
      </c>
      <c r="D49" s="71">
        <f>VLOOKUP($B49,$B:$L,10,0)</f>
        <v>0.77967291382902482</v>
      </c>
      <c r="E49" s="71">
        <f>VLOOKUP($B49,$B:$L,9,0)</f>
        <v>0.75074346979271001</v>
      </c>
      <c r="F49" s="71">
        <f>VLOOKUP($B49,$B:$L,8,0)</f>
        <v>0.77953212018972218</v>
      </c>
      <c r="G49" s="71">
        <f>VLOOKUP($B49,$B:$L,7,0)</f>
        <v>0.83670128019269152</v>
      </c>
      <c r="H49" s="71">
        <f>AVERAGE(C49:G49)</f>
        <v>0.790897398316461</v>
      </c>
      <c r="I49" s="71">
        <f>_xlfn.STDEV.P(C49:G49)</f>
        <v>2.9163159319770628E-2</v>
      </c>
      <c r="K49" s="71">
        <f>VLOOKUP($B49,$B:$L,6,0)</f>
        <v>0.802967382622498</v>
      </c>
      <c r="L49" s="71">
        <f>VLOOKUP($B49,$B:$L,5,0)</f>
        <v>0.79422149636257633</v>
      </c>
      <c r="M49" s="71">
        <f>AVERAGE(K49:L49)</f>
        <v>0.79859443949253717</v>
      </c>
      <c r="N49" s="71">
        <f>_xlfn.STDEV.P(K49:L49)</f>
        <v>4.3729431299608379E-3</v>
      </c>
      <c r="P49" s="71">
        <f>VLOOKUP($B49,$B:$L,4,0)</f>
        <v>0.77985271631583952</v>
      </c>
      <c r="Q49" s="71">
        <f>VLOOKUP($B49,$B:$L,3,0)</f>
        <v>0.72880158421741481</v>
      </c>
      <c r="R49" s="71">
        <f>VLOOKUP($B49,$B:$L,2,0)</f>
        <v>0.76847051665078814</v>
      </c>
      <c r="S49" s="71">
        <f>AVERAGE(P49:R49)</f>
        <v>0.75904160572801416</v>
      </c>
      <c r="T49" s="71">
        <f>_xlfn.STDEV.P(P49:R49)</f>
        <v>2.1881998583689857E-2</v>
      </c>
    </row>
    <row r="52" spans="2:20" x14ac:dyDescent="0.25">
      <c r="B52" s="80"/>
      <c r="C52" s="80">
        <v>2015</v>
      </c>
      <c r="D52" s="80">
        <v>2016</v>
      </c>
      <c r="E52" s="80">
        <v>2017</v>
      </c>
      <c r="F52" s="80">
        <v>2018</v>
      </c>
      <c r="G52" s="80">
        <v>2019</v>
      </c>
      <c r="H52" s="97" t="s">
        <v>64</v>
      </c>
      <c r="I52" s="97" t="s">
        <v>65</v>
      </c>
      <c r="K52" s="80">
        <v>2020</v>
      </c>
      <c r="L52" s="80">
        <v>2021</v>
      </c>
      <c r="M52" s="97" t="s">
        <v>64</v>
      </c>
      <c r="N52" s="97" t="s">
        <v>65</v>
      </c>
      <c r="P52" s="80">
        <v>2022</v>
      </c>
      <c r="Q52" s="80">
        <v>2023</v>
      </c>
      <c r="R52" s="80">
        <v>2024</v>
      </c>
      <c r="S52" s="97" t="s">
        <v>64</v>
      </c>
      <c r="T52" s="97" t="s">
        <v>65</v>
      </c>
    </row>
    <row r="53" spans="2:20" x14ac:dyDescent="0.25">
      <c r="B53" s="96" t="s">
        <v>80</v>
      </c>
      <c r="C53" s="94">
        <f>L31</f>
        <v>6000</v>
      </c>
      <c r="D53" s="94">
        <v>8400</v>
      </c>
      <c r="E53" s="94">
        <v>10720</v>
      </c>
      <c r="F53" s="94">
        <v>11290</v>
      </c>
      <c r="G53" s="94">
        <v>15430</v>
      </c>
      <c r="H53" s="98">
        <f>AVERAGE(C53:G53)</f>
        <v>10368</v>
      </c>
      <c r="I53" s="98">
        <f>_xlfn.STDEV.P(C53:G53)</f>
        <v>3148.0241422200052</v>
      </c>
      <c r="J53" s="95"/>
      <c r="K53" s="94">
        <v>13360</v>
      </c>
      <c r="L53" s="94">
        <v>16600</v>
      </c>
      <c r="M53" s="98">
        <f>AVERAGE(K53:L53)</f>
        <v>14980</v>
      </c>
      <c r="N53" s="98">
        <f>_xlfn.STDEV.P(K53:L53)</f>
        <v>1620</v>
      </c>
      <c r="O53" s="95"/>
      <c r="P53" s="94">
        <v>10110</v>
      </c>
      <c r="Q53" s="94">
        <v>15880</v>
      </c>
      <c r="R53" s="94">
        <v>21690</v>
      </c>
      <c r="S53" s="98">
        <f>AVERAGE(P53:R53)</f>
        <v>15893.333333333334</v>
      </c>
      <c r="T53" s="98">
        <f>_xlfn.STDEV.P(P53:R53)</f>
        <v>4727.5246047893697</v>
      </c>
    </row>
    <row r="54" spans="2:20" x14ac:dyDescent="0.25">
      <c r="B54" s="80" t="s">
        <v>18</v>
      </c>
      <c r="C54" s="73">
        <f>VLOOKUP($B54,$B:$L,11,0)</f>
        <v>26.6</v>
      </c>
      <c r="D54" s="73">
        <f>VLOOKUP($B54,$B:$L,10,0)</f>
        <v>11.6</v>
      </c>
      <c r="E54" s="73">
        <f>VLOOKUP($B54,$B:$L,9,0)</f>
        <v>10.7</v>
      </c>
      <c r="F54" s="73">
        <f>VLOOKUP($B54,$B:$L,8,0)</f>
        <v>9.9</v>
      </c>
      <c r="G54" s="73">
        <f>VLOOKUP($B54,$B:$L,7,0)</f>
        <v>10.5</v>
      </c>
      <c r="H54" s="99">
        <f>AVERAGE(C54:G54)</f>
        <v>13.860000000000003</v>
      </c>
      <c r="I54" s="99">
        <f>_xlfn.STDEV.P(C54:G54)</f>
        <v>6.393309002386788</v>
      </c>
      <c r="J54" s="82"/>
      <c r="K54" s="73">
        <f>VLOOKUP($B54,$B:$L,6,0)</f>
        <v>14.4</v>
      </c>
      <c r="L54" s="73">
        <f>VLOOKUP($B54,$B:$L,5,0)</f>
        <v>10.199999999999999</v>
      </c>
      <c r="M54" s="99">
        <f>AVERAGE(K54:L54)</f>
        <v>12.3</v>
      </c>
      <c r="N54" s="99">
        <f>_xlfn.STDEV.P(K54:L54)</f>
        <v>2.0999999999999925</v>
      </c>
      <c r="O54" s="82"/>
      <c r="P54" s="73">
        <f>VLOOKUP($B54,$B:$L,4,0)</f>
        <v>8.1999999999999993</v>
      </c>
      <c r="Q54" s="73">
        <f>VLOOKUP($B54,$B:$L,3,0)</f>
        <v>4.5</v>
      </c>
      <c r="R54" s="73">
        <f>VLOOKUP($B54,$B:$L,2,0)</f>
        <v>5.6</v>
      </c>
      <c r="S54" s="99">
        <f>AVERAGE(P54:R54)</f>
        <v>6.0999999999999988</v>
      </c>
      <c r="T54" s="99">
        <f>_xlfn.STDEV.P(P54:R54)</f>
        <v>1.5513435037626824</v>
      </c>
    </row>
    <row r="55" spans="2:20" x14ac:dyDescent="0.25">
      <c r="B55" s="80" t="s">
        <v>19</v>
      </c>
      <c r="C55" s="73">
        <f>VLOOKUP(B55,B:L,11,0)</f>
        <v>1.4</v>
      </c>
      <c r="D55" s="73">
        <f>VLOOKUP($B55,$B:$L,10,0)</f>
        <v>1.7</v>
      </c>
      <c r="E55" s="73">
        <f>VLOOKUP($B55,$B:$L,9,0)</f>
        <v>1.8</v>
      </c>
      <c r="F55" s="73">
        <f>VLOOKUP($B55,$B:$L,8,0)</f>
        <v>1.7</v>
      </c>
      <c r="G55" s="73">
        <f>VLOOKUP($B55,$B:$L,7,0)</f>
        <v>1.9</v>
      </c>
      <c r="H55" s="99">
        <f>AVERAGE(C55:G55)</f>
        <v>1.7</v>
      </c>
      <c r="I55" s="99">
        <f>_xlfn.STDEV.P(C55:G55)</f>
        <v>0.16733200530681513</v>
      </c>
      <c r="J55" s="82"/>
      <c r="K55" s="73">
        <f>VLOOKUP($B55,$B:$L,6,0)</f>
        <v>1.5</v>
      </c>
      <c r="L55" s="73">
        <f>VLOOKUP($B55,$B:$L,5,0)</f>
        <v>1.3</v>
      </c>
      <c r="M55" s="99">
        <f>AVERAGE(K55:L55)</f>
        <v>1.4</v>
      </c>
      <c r="N55" s="99">
        <f>_xlfn.STDEV.P(K55:L55)</f>
        <v>9.9999999999999978E-2</v>
      </c>
      <c r="O55" s="82"/>
      <c r="P55" s="73">
        <f>VLOOKUP($B55,$B:$L,4,0)</f>
        <v>0.7</v>
      </c>
      <c r="Q55" s="73">
        <f>VLOOKUP($B55,$B:$L,3,0)</f>
        <v>1</v>
      </c>
      <c r="R55" s="73">
        <f>VLOOKUP($B55,$B:$L,2,0)</f>
        <v>1.1000000000000001</v>
      </c>
      <c r="S55" s="99">
        <f>AVERAGE(P55:R55)</f>
        <v>0.93333333333333324</v>
      </c>
      <c r="T55" s="99">
        <f>_xlfn.STDEV.P(P55:R55)</f>
        <v>0.16996731711976029</v>
      </c>
    </row>
    <row r="58" spans="2:20" x14ac:dyDescent="0.25">
      <c r="B58" s="24"/>
    </row>
  </sheetData>
  <mergeCells count="3">
    <mergeCell ref="H33:L33"/>
    <mergeCell ref="F33:G33"/>
    <mergeCell ref="C33:E33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9B51E-665A-4441-92F3-396784F5F73C}">
  <dimension ref="A1:T63"/>
  <sheetViews>
    <sheetView workbookViewId="0">
      <selection activeCell="C29" sqref="C29"/>
    </sheetView>
  </sheetViews>
  <sheetFormatPr defaultRowHeight="15" x14ac:dyDescent="0.25"/>
  <cols>
    <col min="1" max="1" width="31.42578125" style="3" bestFit="1" customWidth="1"/>
    <col min="2" max="2" width="37" bestFit="1" customWidth="1"/>
    <col min="3" max="4" width="13.28515625" customWidth="1"/>
    <col min="5" max="5" width="14" customWidth="1"/>
    <col min="6" max="6" width="11.28515625" customWidth="1"/>
    <col min="7" max="7" width="13.28515625" customWidth="1"/>
    <col min="8" max="13" width="13.28515625" bestFit="1" customWidth="1"/>
  </cols>
  <sheetData>
    <row r="1" spans="1:12" x14ac:dyDescent="0.25">
      <c r="C1" s="16">
        <v>2024</v>
      </c>
      <c r="D1" s="17">
        <v>2023</v>
      </c>
      <c r="E1" s="17">
        <v>2022</v>
      </c>
      <c r="F1" s="17">
        <v>2021</v>
      </c>
      <c r="G1" s="17">
        <v>2020</v>
      </c>
      <c r="H1" s="17">
        <v>2019</v>
      </c>
      <c r="I1" s="17">
        <v>2018</v>
      </c>
      <c r="J1" s="17">
        <v>2017</v>
      </c>
      <c r="K1" s="17">
        <v>2016</v>
      </c>
      <c r="L1" s="18">
        <v>2015</v>
      </c>
    </row>
    <row r="2" spans="1:12" s="3" customFormat="1" x14ac:dyDescent="0.25">
      <c r="A2" s="11" t="s">
        <v>8</v>
      </c>
      <c r="B2" s="4" t="s">
        <v>0</v>
      </c>
      <c r="C2" s="31">
        <v>0.192</v>
      </c>
      <c r="D2" s="31">
        <v>0.13300000000000001</v>
      </c>
      <c r="E2" s="31">
        <v>9.6000000000000002E-2</v>
      </c>
      <c r="F2" s="31">
        <v>0.121</v>
      </c>
      <c r="G2" s="31">
        <v>-0.06</v>
      </c>
      <c r="H2" s="31">
        <v>0.1</v>
      </c>
      <c r="I2" s="31">
        <v>0.1</v>
      </c>
      <c r="J2" s="31">
        <v>0.09</v>
      </c>
      <c r="K2" s="31">
        <v>9.0999999999999998E-2</v>
      </c>
      <c r="L2" s="31">
        <v>0.09</v>
      </c>
    </row>
    <row r="3" spans="1:12" s="3" customFormat="1" x14ac:dyDescent="0.25">
      <c r="A3" s="11"/>
      <c r="B3" s="4" t="s">
        <v>62</v>
      </c>
      <c r="C3" s="12">
        <f t="shared" ref="C3:L3" si="0">C4/C5</f>
        <v>0.17765896505632997</v>
      </c>
      <c r="D3" s="12">
        <f t="shared" si="0"/>
        <v>0.12165299489243152</v>
      </c>
      <c r="E3" s="12">
        <f t="shared" si="0"/>
        <v>9.275492200408883E-2</v>
      </c>
      <c r="F3" s="12">
        <f t="shared" si="0"/>
        <v>0.12930782903987478</v>
      </c>
      <c r="G3" s="12">
        <f t="shared" si="0"/>
        <v>-6.4067550299416201E-2</v>
      </c>
      <c r="H3" s="12">
        <f t="shared" si="0"/>
        <v>9.6950310260233777E-2</v>
      </c>
      <c r="I3" s="12">
        <f t="shared" si="0"/>
        <v>9.5675302421932937E-2</v>
      </c>
      <c r="J3" s="12">
        <f t="shared" si="0"/>
        <v>8.5613415710503085E-2</v>
      </c>
      <c r="K3" s="12">
        <f t="shared" si="0"/>
        <v>8.8243421658632443E-2</v>
      </c>
      <c r="L3" s="12">
        <f t="shared" si="0"/>
        <v>8.6238228977366591E-2</v>
      </c>
    </row>
    <row r="4" spans="1:12" s="3" customFormat="1" x14ac:dyDescent="0.25">
      <c r="A4" s="3" t="s">
        <v>26</v>
      </c>
      <c r="B4" s="30" t="s">
        <v>33</v>
      </c>
      <c r="C4" s="7">
        <v>9304</v>
      </c>
      <c r="D4" s="7">
        <v>5502</v>
      </c>
      <c r="E4" s="7">
        <v>3312</v>
      </c>
      <c r="F4" s="7">
        <v>4874</v>
      </c>
      <c r="G4" s="7">
        <v>-2557</v>
      </c>
      <c r="H4" s="7">
        <v>4031</v>
      </c>
      <c r="I4" s="7">
        <v>3741</v>
      </c>
      <c r="J4" s="7">
        <v>3104</v>
      </c>
      <c r="K4" s="7">
        <v>2874</v>
      </c>
      <c r="L4" s="7">
        <v>2610</v>
      </c>
    </row>
    <row r="5" spans="1:12" s="3" customFormat="1" x14ac:dyDescent="0.25">
      <c r="A5" s="3" t="s">
        <v>26</v>
      </c>
      <c r="B5" s="30" t="s">
        <v>31</v>
      </c>
      <c r="C5" s="22">
        <v>52370</v>
      </c>
      <c r="D5" s="22">
        <v>45227</v>
      </c>
      <c r="E5" s="22">
        <v>35707</v>
      </c>
      <c r="F5" s="22">
        <v>37693</v>
      </c>
      <c r="G5" s="22">
        <v>39911</v>
      </c>
      <c r="H5" s="22">
        <v>41578</v>
      </c>
      <c r="I5" s="22">
        <v>39101</v>
      </c>
      <c r="J5" s="22">
        <v>36256</v>
      </c>
      <c r="K5" s="22">
        <v>32569</v>
      </c>
      <c r="L5" s="22">
        <v>30265</v>
      </c>
    </row>
    <row r="6" spans="1:12" s="5" customFormat="1" x14ac:dyDescent="0.25">
      <c r="A6" s="11" t="s">
        <v>9</v>
      </c>
      <c r="B6" s="6" t="s">
        <v>1</v>
      </c>
      <c r="C6" s="12">
        <v>1.7999999999999999E-2</v>
      </c>
      <c r="D6" s="12">
        <v>1.2E-2</v>
      </c>
      <c r="E6" s="12">
        <v>8.0000000000000002E-3</v>
      </c>
      <c r="F6" s="12">
        <v>1.2E-2</v>
      </c>
      <c r="G6" s="12">
        <v>-7.0000000000000001E-3</v>
      </c>
      <c r="H6" s="12">
        <v>1.2E-2</v>
      </c>
      <c r="I6" s="12">
        <v>1.2E-2</v>
      </c>
      <c r="J6" s="12">
        <v>1.0999999999999999E-2</v>
      </c>
      <c r="K6" s="12">
        <v>1.0999999999999999E-2</v>
      </c>
      <c r="L6" s="12">
        <v>0.01</v>
      </c>
    </row>
    <row r="7" spans="1:12" s="5" customFormat="1" x14ac:dyDescent="0.25">
      <c r="A7" s="11"/>
      <c r="B7" s="6" t="s">
        <v>63</v>
      </c>
      <c r="C7" s="12">
        <f t="shared" ref="C7:L7" si="1">C8/C9</f>
        <v>1.7714312913513258E-2</v>
      </c>
      <c r="D7" s="12">
        <f t="shared" si="1"/>
        <v>1.1106423436935419E-2</v>
      </c>
      <c r="E7" s="12">
        <f t="shared" si="1"/>
        <v>7.9272948345727717E-3</v>
      </c>
      <c r="F7" s="12">
        <f t="shared" si="1"/>
        <v>1.1657888568380669E-2</v>
      </c>
      <c r="G7" s="12">
        <f t="shared" si="1"/>
        <v>-6.7831051076224381E-3</v>
      </c>
      <c r="H7" s="12">
        <f t="shared" si="1"/>
        <v>1.15867627487446E-2</v>
      </c>
      <c r="I7" s="12">
        <f t="shared" si="1"/>
        <v>1.1537216079937086E-2</v>
      </c>
      <c r="J7" s="12">
        <f t="shared" si="1"/>
        <v>1.0454276014441989E-2</v>
      </c>
      <c r="K7" s="12">
        <f t="shared" si="1"/>
        <v>1.0063976636446722E-2</v>
      </c>
      <c r="L7" s="12">
        <f t="shared" si="1"/>
        <v>9.7774780849629126E-3</v>
      </c>
    </row>
    <row r="8" spans="1:12" s="5" customFormat="1" x14ac:dyDescent="0.25">
      <c r="A8" s="3" t="s">
        <v>26</v>
      </c>
      <c r="B8" s="30" t="s">
        <v>33</v>
      </c>
      <c r="C8" s="7">
        <v>9304</v>
      </c>
      <c r="D8" s="7">
        <v>5502</v>
      </c>
      <c r="E8" s="7">
        <v>3312</v>
      </c>
      <c r="F8" s="7">
        <v>4874</v>
      </c>
      <c r="G8" s="7">
        <v>-2557</v>
      </c>
      <c r="H8" s="7">
        <v>4031</v>
      </c>
      <c r="I8" s="7">
        <v>3741</v>
      </c>
      <c r="J8" s="7">
        <v>3104</v>
      </c>
      <c r="K8" s="7">
        <v>2874</v>
      </c>
      <c r="L8" s="7">
        <v>2610</v>
      </c>
    </row>
    <row r="9" spans="1:12" s="5" customFormat="1" x14ac:dyDescent="0.25">
      <c r="A9" s="3" t="s">
        <v>26</v>
      </c>
      <c r="B9" s="30" t="s">
        <v>32</v>
      </c>
      <c r="C9" s="22">
        <v>525225</v>
      </c>
      <c r="D9" s="22">
        <v>495389</v>
      </c>
      <c r="E9" s="22">
        <v>417797</v>
      </c>
      <c r="F9" s="22">
        <v>418086</v>
      </c>
      <c r="G9" s="22">
        <v>376966</v>
      </c>
      <c r="H9" s="22">
        <v>347897</v>
      </c>
      <c r="I9" s="22">
        <v>324255</v>
      </c>
      <c r="J9" s="22">
        <v>296912</v>
      </c>
      <c r="K9" s="22">
        <v>285573</v>
      </c>
      <c r="L9" s="22">
        <v>266940</v>
      </c>
    </row>
    <row r="10" spans="1:12" s="5" customFormat="1" x14ac:dyDescent="0.25">
      <c r="A10" s="11" t="s">
        <v>10</v>
      </c>
      <c r="B10" s="13" t="s">
        <v>2</v>
      </c>
      <c r="C10" s="12">
        <v>4.8000000000000001E-2</v>
      </c>
      <c r="D10" s="12">
        <v>4.3999999999999997E-2</v>
      </c>
      <c r="E10" s="12">
        <v>3.7999999999999999E-2</v>
      </c>
      <c r="F10" s="12">
        <v>2.7E-2</v>
      </c>
      <c r="G10" s="12">
        <v>0.03</v>
      </c>
      <c r="H10" s="12">
        <v>3.4000000000000002E-2</v>
      </c>
      <c r="I10" s="12">
        <v>3.4000000000000002E-2</v>
      </c>
      <c r="J10" s="12">
        <v>3.3000000000000002E-2</v>
      </c>
      <c r="K10" s="12">
        <v>3.2000000000000001E-2</v>
      </c>
      <c r="L10" s="12">
        <v>0.03</v>
      </c>
    </row>
    <row r="11" spans="1:12" s="5" customFormat="1" x14ac:dyDescent="0.25">
      <c r="A11" s="11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s="5" customFormat="1" x14ac:dyDescent="0.25">
      <c r="A12" s="11" t="s">
        <v>11</v>
      </c>
      <c r="B12" s="4" t="s">
        <v>3</v>
      </c>
      <c r="C12" s="12">
        <v>0.29499999999999998</v>
      </c>
      <c r="D12" s="12">
        <v>0.316</v>
      </c>
      <c r="E12" s="12">
        <v>0.45</v>
      </c>
      <c r="F12" s="12">
        <v>0.40400000000000003</v>
      </c>
      <c r="G12" s="12">
        <v>0.40899999999999997</v>
      </c>
      <c r="H12" s="12">
        <v>0.41299999999999998</v>
      </c>
      <c r="I12" s="12">
        <v>0.442</v>
      </c>
      <c r="J12" s="12">
        <v>0.46</v>
      </c>
      <c r="K12" s="12">
        <v>0.47399999999999998</v>
      </c>
      <c r="L12" s="12">
        <v>0.56599999999999995</v>
      </c>
    </row>
    <row r="13" spans="1:12" s="3" customFormat="1" x14ac:dyDescent="0.25">
      <c r="A13" s="3" t="s">
        <v>25</v>
      </c>
      <c r="B13" s="8" t="s">
        <v>20</v>
      </c>
      <c r="C13" s="9">
        <v>2.3109999999999999</v>
      </c>
      <c r="D13" s="9">
        <v>2.3140000000000001</v>
      </c>
      <c r="E13" s="9">
        <v>1.5580000000000001</v>
      </c>
      <c r="F13" s="9">
        <v>1.7649999999999999</v>
      </c>
      <c r="G13" s="9">
        <v>2.0470000000000002</v>
      </c>
      <c r="H13" s="9">
        <v>1.39</v>
      </c>
      <c r="I13" s="9">
        <v>1.2729999999999999</v>
      </c>
      <c r="J13" s="9">
        <v>1.607</v>
      </c>
      <c r="K13" s="21"/>
      <c r="L13" s="21"/>
    </row>
    <row r="14" spans="1:12" s="5" customFormat="1" x14ac:dyDescent="0.25">
      <c r="A14" s="11" t="s">
        <v>12</v>
      </c>
      <c r="B14" s="13" t="s">
        <v>4</v>
      </c>
      <c r="C14" s="12">
        <v>3.5900000000000001E-2</v>
      </c>
      <c r="D14" s="12">
        <v>3.44E-2</v>
      </c>
      <c r="E14" s="12">
        <v>3.7900000000000003E-2</v>
      </c>
      <c r="F14" s="12">
        <v>3.9800000000000002E-2</v>
      </c>
      <c r="G14" s="12">
        <v>4.4299999999999999E-2</v>
      </c>
      <c r="H14" s="12">
        <v>4.2599999999999999E-2</v>
      </c>
      <c r="I14" s="12">
        <v>4.87E-2</v>
      </c>
      <c r="J14" s="12">
        <v>5.5E-2</v>
      </c>
      <c r="K14" s="12">
        <v>5.8999999999999997E-2</v>
      </c>
      <c r="L14" s="12">
        <v>6.6000000000000003E-2</v>
      </c>
    </row>
    <row r="15" spans="1:12" s="5" customFormat="1" x14ac:dyDescent="0.25">
      <c r="A15" s="11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s="5" customFormat="1" x14ac:dyDescent="0.25">
      <c r="A16" s="3" t="s">
        <v>26</v>
      </c>
      <c r="B16" s="1" t="s">
        <v>6</v>
      </c>
      <c r="C16" s="7">
        <v>286272</v>
      </c>
      <c r="D16" s="7">
        <v>262918</v>
      </c>
      <c r="E16" s="7">
        <v>247619</v>
      </c>
      <c r="F16" s="7">
        <v>247572</v>
      </c>
      <c r="G16" s="7">
        <v>235727</v>
      </c>
      <c r="H16" s="7">
        <v>244083</v>
      </c>
      <c r="I16" s="7">
        <v>230438</v>
      </c>
      <c r="J16" s="7">
        <v>214361</v>
      </c>
      <c r="K16" s="7">
        <v>208987</v>
      </c>
      <c r="L16" s="7">
        <v>195229</v>
      </c>
    </row>
    <row r="17" spans="1:13" s="5" customFormat="1" x14ac:dyDescent="0.25">
      <c r="A17" s="3" t="s">
        <v>26</v>
      </c>
      <c r="B17" s="2" t="s">
        <v>22</v>
      </c>
      <c r="C17" s="22">
        <f t="shared" ref="C17:L17" si="2">C16*(100%-C14)</f>
        <v>275994.83519999997</v>
      </c>
      <c r="D17" s="22">
        <f t="shared" si="2"/>
        <v>253873.6208</v>
      </c>
      <c r="E17" s="22">
        <f t="shared" si="2"/>
        <v>238234.23989999999</v>
      </c>
      <c r="F17" s="22">
        <f t="shared" si="2"/>
        <v>237718.63439999998</v>
      </c>
      <c r="G17" s="22">
        <f t="shared" si="2"/>
        <v>225284.29389999999</v>
      </c>
      <c r="H17" s="22">
        <f t="shared" si="2"/>
        <v>233685.06419999999</v>
      </c>
      <c r="I17" s="22">
        <f t="shared" si="2"/>
        <v>219215.66940000001</v>
      </c>
      <c r="J17" s="22">
        <f t="shared" si="2"/>
        <v>202571.14499999999</v>
      </c>
      <c r="K17" s="22">
        <f t="shared" si="2"/>
        <v>196656.76700000002</v>
      </c>
      <c r="L17" s="22">
        <f t="shared" si="2"/>
        <v>182343.886</v>
      </c>
    </row>
    <row r="18" spans="1:13" s="5" customFormat="1" x14ac:dyDescent="0.25">
      <c r="A18" s="11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3" s="5" customFormat="1" x14ac:dyDescent="0.25">
      <c r="A19" s="11" t="s">
        <v>13</v>
      </c>
      <c r="B19" s="15" t="s">
        <v>5</v>
      </c>
      <c r="C19" s="12">
        <v>0.18579999999999999</v>
      </c>
      <c r="D19" s="12">
        <v>0.18840000000000001</v>
      </c>
      <c r="E19" s="12">
        <v>0.19070000000000001</v>
      </c>
      <c r="F19" s="12">
        <v>0.18729999999999999</v>
      </c>
      <c r="G19" s="12">
        <v>0.18179999999999999</v>
      </c>
      <c r="H19" s="12">
        <v>0.1988</v>
      </c>
      <c r="I19" s="12">
        <v>0.1888</v>
      </c>
      <c r="J19" s="12">
        <v>0.17369999999999999</v>
      </c>
      <c r="K19" s="12">
        <v>0.15809999999999999</v>
      </c>
      <c r="L19" s="12">
        <v>0.14610000000000001</v>
      </c>
    </row>
    <row r="20" spans="1:13" s="5" customFormat="1" x14ac:dyDescent="0.25">
      <c r="A20" s="11" t="s">
        <v>14</v>
      </c>
      <c r="B20" s="15" t="s">
        <v>17</v>
      </c>
      <c r="C20" s="14">
        <f t="shared" ref="C20:L20" si="3">C22/C23</f>
        <v>0.68196046481711758</v>
      </c>
      <c r="D20" s="14">
        <f t="shared" si="3"/>
        <v>0.65862377346296153</v>
      </c>
      <c r="E20" s="14">
        <f t="shared" si="3"/>
        <v>0.73072405774519877</v>
      </c>
      <c r="F20" s="14">
        <f t="shared" si="3"/>
        <v>0.76815101645692163</v>
      </c>
      <c r="G20" s="14">
        <f t="shared" si="3"/>
        <v>0.83485741404468117</v>
      </c>
      <c r="H20" s="14">
        <f t="shared" si="3"/>
        <v>0.95281648905024008</v>
      </c>
      <c r="I20" s="14">
        <f t="shared" si="3"/>
        <v>0.96529450450941046</v>
      </c>
      <c r="J20" s="14">
        <f t="shared" si="3"/>
        <v>0.98644768207044442</v>
      </c>
      <c r="K20" s="14">
        <f t="shared" si="3"/>
        <v>1.042828486457356</v>
      </c>
      <c r="L20" s="14">
        <f t="shared" si="3"/>
        <v>1.0221146043297296</v>
      </c>
    </row>
    <row r="22" spans="1:13" x14ac:dyDescent="0.25">
      <c r="A22" s="3" t="s">
        <v>26</v>
      </c>
      <c r="B22" s="1" t="s">
        <v>6</v>
      </c>
      <c r="C22" s="7">
        <v>286272</v>
      </c>
      <c r="D22" s="7">
        <v>262918</v>
      </c>
      <c r="E22" s="7">
        <v>247619</v>
      </c>
      <c r="F22" s="7">
        <v>247572</v>
      </c>
      <c r="G22" s="7">
        <v>235727</v>
      </c>
      <c r="H22" s="7">
        <v>244083</v>
      </c>
      <c r="I22" s="7">
        <v>230438</v>
      </c>
      <c r="J22" s="7">
        <v>214361</v>
      </c>
      <c r="K22" s="7">
        <v>208987</v>
      </c>
      <c r="L22" s="7">
        <v>195229</v>
      </c>
    </row>
    <row r="23" spans="1:13" x14ac:dyDescent="0.25">
      <c r="A23" s="3" t="s">
        <v>26</v>
      </c>
      <c r="B23" s="2" t="s">
        <v>7</v>
      </c>
      <c r="C23" s="7">
        <v>419778</v>
      </c>
      <c r="D23" s="7">
        <v>399193</v>
      </c>
      <c r="E23" s="7">
        <v>338868</v>
      </c>
      <c r="F23" s="7">
        <v>322296</v>
      </c>
      <c r="G23" s="7">
        <v>282356</v>
      </c>
      <c r="H23" s="7">
        <v>256170</v>
      </c>
      <c r="I23" s="7">
        <v>238723</v>
      </c>
      <c r="J23" s="7">
        <v>217306</v>
      </c>
      <c r="K23" s="7">
        <v>200404</v>
      </c>
      <c r="L23" s="7">
        <v>191005</v>
      </c>
    </row>
    <row r="24" spans="1:13" x14ac:dyDescent="0.25">
      <c r="C24" s="72"/>
      <c r="D24" s="72"/>
      <c r="E24" s="72"/>
      <c r="F24" s="72"/>
      <c r="G24" s="72"/>
      <c r="H24" s="72"/>
      <c r="I24" s="72"/>
      <c r="J24" s="72"/>
      <c r="K24" s="72"/>
    </row>
    <row r="25" spans="1:13" s="5" customFormat="1" x14ac:dyDescent="0.25">
      <c r="A25" t="s">
        <v>23</v>
      </c>
      <c r="B25" s="4" t="s">
        <v>18</v>
      </c>
      <c r="C25" s="23">
        <f>C32</f>
        <v>8.0288048151332756</v>
      </c>
      <c r="D25" s="23">
        <f t="shared" ref="D25:L25" si="4">D32</f>
        <v>11.432206470374409</v>
      </c>
      <c r="E25" s="23">
        <f t="shared" si="4"/>
        <v>11.431914251207729</v>
      </c>
      <c r="F25" s="23">
        <f t="shared" si="4"/>
        <v>11.522876487484613</v>
      </c>
      <c r="G25" s="23">
        <f t="shared" si="4"/>
        <v>-14.039890496675792</v>
      </c>
      <c r="H25" s="23">
        <f t="shared" si="4"/>
        <v>10.685934011411561</v>
      </c>
      <c r="I25" s="23">
        <f t="shared" si="4"/>
        <v>13.188318631381984</v>
      </c>
      <c r="J25" s="23">
        <f t="shared" si="4"/>
        <v>17.843911082474229</v>
      </c>
      <c r="K25" s="23">
        <f t="shared" si="4"/>
        <v>12.239039665970774</v>
      </c>
      <c r="L25" s="23">
        <f t="shared" si="4"/>
        <v>13.089080459770114</v>
      </c>
    </row>
    <row r="26" spans="1:13" s="5" customFormat="1" x14ac:dyDescent="0.25">
      <c r="A26" t="s">
        <v>24</v>
      </c>
      <c r="B26" s="13" t="s">
        <v>19</v>
      </c>
      <c r="C26" s="23">
        <f>C37</f>
        <v>1.4263891540958564</v>
      </c>
      <c r="D26" s="23">
        <f t="shared" ref="D26:L26" si="5">D37</f>
        <v>1.3907621553496803</v>
      </c>
      <c r="E26" s="23">
        <f t="shared" si="5"/>
        <v>1.068505714688867</v>
      </c>
      <c r="F26" s="23">
        <f t="shared" si="5"/>
        <v>1.489998142891253</v>
      </c>
      <c r="G26" s="23">
        <f t="shared" si="5"/>
        <v>0.89950139059407175</v>
      </c>
      <c r="H26" s="23">
        <f t="shared" si="5"/>
        <v>1.0360046178267353</v>
      </c>
      <c r="I26" s="23">
        <f t="shared" si="5"/>
        <v>1.2617963734942841</v>
      </c>
      <c r="J26" s="23">
        <f t="shared" si="5"/>
        <v>1.5276781774051194</v>
      </c>
      <c r="K26" s="23">
        <f t="shared" si="5"/>
        <v>1.0800147379409868</v>
      </c>
      <c r="L26" s="23">
        <f t="shared" si="5"/>
        <v>1.1287791177928299</v>
      </c>
    </row>
    <row r="28" spans="1:13" x14ac:dyDescent="0.25">
      <c r="B28" s="96" t="s">
        <v>80</v>
      </c>
      <c r="C28">
        <v>59.76</v>
      </c>
      <c r="D28">
        <v>50.32</v>
      </c>
      <c r="E28">
        <v>30.29</v>
      </c>
      <c r="F28">
        <v>44.93</v>
      </c>
      <c r="G28">
        <v>28.72</v>
      </c>
      <c r="H28">
        <v>34.46</v>
      </c>
      <c r="I28">
        <v>39.47</v>
      </c>
      <c r="J28">
        <v>44.31</v>
      </c>
      <c r="K28">
        <v>28.14</v>
      </c>
      <c r="L28">
        <v>27.33</v>
      </c>
      <c r="M28">
        <v>35.76</v>
      </c>
    </row>
    <row r="29" spans="1:13" x14ac:dyDescent="0.25">
      <c r="B29" s="24"/>
      <c r="C29" s="93"/>
      <c r="D29" s="93"/>
    </row>
    <row r="30" spans="1:13" x14ac:dyDescent="0.25">
      <c r="B30" s="24" t="s">
        <v>39</v>
      </c>
      <c r="C30" s="100">
        <f>(C28/F28)^(1/3)-1</f>
        <v>9.9743465305800694E-2</v>
      </c>
      <c r="D30" s="100"/>
      <c r="E30" s="100"/>
      <c r="F30" s="100">
        <f>(F28/H28)^(1/2)-1</f>
        <v>0.14185398722804221</v>
      </c>
      <c r="G30" s="100"/>
      <c r="H30" s="100">
        <f>(H28/M28)^(1/5)-1</f>
        <v>-7.3787859383257492E-3</v>
      </c>
      <c r="I30" s="100"/>
      <c r="J30" s="100"/>
      <c r="K30" s="100"/>
      <c r="L30" s="100"/>
      <c r="M30" s="12">
        <f>(C28/M28)^(1/10)-1</f>
        <v>5.2691964536587532E-2</v>
      </c>
    </row>
    <row r="32" spans="1:13" x14ac:dyDescent="0.25">
      <c r="B32" s="4" t="s">
        <v>18</v>
      </c>
      <c r="C32" s="25">
        <f>C28/C33</f>
        <v>8.0288048151332756</v>
      </c>
      <c r="D32" s="25">
        <f>D28/D33</f>
        <v>11.432206470374409</v>
      </c>
      <c r="E32" s="25">
        <f>E28/E33</f>
        <v>11.431914251207729</v>
      </c>
      <c r="F32" s="25">
        <f>F28/F33</f>
        <v>11.522876487484613</v>
      </c>
      <c r="G32" s="25">
        <f>G28/G33</f>
        <v>-14.039890496675792</v>
      </c>
      <c r="H32" s="25">
        <f>H28/H33</f>
        <v>10.685934011411561</v>
      </c>
      <c r="I32" s="25">
        <f>I28/I33</f>
        <v>13.188318631381984</v>
      </c>
      <c r="J32" s="25">
        <f>J28/J33</f>
        <v>17.843911082474229</v>
      </c>
      <c r="K32" s="25">
        <f>K28/K33</f>
        <v>12.239039665970774</v>
      </c>
      <c r="L32" s="25">
        <f>L28/L33</f>
        <v>13.089080459770114</v>
      </c>
    </row>
    <row r="33" spans="1:20" x14ac:dyDescent="0.25">
      <c r="B33" s="26" t="s">
        <v>27</v>
      </c>
      <c r="C33">
        <f>C35/C34</f>
        <v>7.4432</v>
      </c>
      <c r="D33">
        <f>D35/D34</f>
        <v>4.4016000000000002</v>
      </c>
      <c r="E33">
        <f>E35/E34</f>
        <v>2.6496</v>
      </c>
      <c r="F33">
        <f t="shared" ref="F33:L33" si="6">F35/F34</f>
        <v>3.8992</v>
      </c>
      <c r="G33">
        <f t="shared" si="6"/>
        <v>-2.0455999999999999</v>
      </c>
      <c r="H33">
        <f t="shared" si="6"/>
        <v>3.2248000000000001</v>
      </c>
      <c r="I33">
        <f t="shared" si="6"/>
        <v>2.9927999999999999</v>
      </c>
      <c r="J33">
        <f t="shared" si="6"/>
        <v>2.4832000000000001</v>
      </c>
      <c r="K33">
        <f t="shared" si="6"/>
        <v>2.2991999999999999</v>
      </c>
      <c r="L33">
        <f t="shared" si="6"/>
        <v>2.0880000000000001</v>
      </c>
    </row>
    <row r="34" spans="1:20" x14ac:dyDescent="0.25">
      <c r="A34" s="3" t="s">
        <v>26</v>
      </c>
      <c r="B34" s="26" t="s">
        <v>28</v>
      </c>
      <c r="C34">
        <v>1250</v>
      </c>
      <c r="D34">
        <v>1250</v>
      </c>
      <c r="E34" s="3">
        <v>1250</v>
      </c>
      <c r="F34" s="3">
        <v>1250</v>
      </c>
      <c r="G34" s="3">
        <v>1250</v>
      </c>
      <c r="H34" s="3">
        <v>1250</v>
      </c>
      <c r="I34" s="3">
        <v>1250</v>
      </c>
      <c r="J34" s="3">
        <v>1250</v>
      </c>
      <c r="K34" s="3">
        <v>1250</v>
      </c>
      <c r="L34" s="3">
        <v>1250</v>
      </c>
    </row>
    <row r="35" spans="1:20" x14ac:dyDescent="0.25">
      <c r="A35" s="3" t="s">
        <v>26</v>
      </c>
      <c r="B35" s="2" t="s">
        <v>29</v>
      </c>
      <c r="C35">
        <v>9304</v>
      </c>
      <c r="D35">
        <v>5502</v>
      </c>
      <c r="E35" s="3">
        <v>3312</v>
      </c>
      <c r="F35" s="3">
        <v>4874</v>
      </c>
      <c r="G35" s="3">
        <v>-2557</v>
      </c>
      <c r="H35" s="3">
        <v>4031</v>
      </c>
      <c r="I35" s="3">
        <v>3741</v>
      </c>
      <c r="J35" s="3">
        <v>3104</v>
      </c>
      <c r="K35" s="3">
        <v>2874</v>
      </c>
      <c r="L35" s="3">
        <v>2610</v>
      </c>
    </row>
    <row r="37" spans="1:20" x14ac:dyDescent="0.25">
      <c r="B37" s="4" t="s">
        <v>19</v>
      </c>
      <c r="C37" s="25">
        <f>C28/C38</f>
        <v>1.4263891540958564</v>
      </c>
      <c r="D37" s="25">
        <f>D28/D38</f>
        <v>1.3907621553496803</v>
      </c>
      <c r="E37" s="25">
        <f>E28/E38</f>
        <v>1.068505714688867</v>
      </c>
      <c r="F37" s="25">
        <f>F28/F38</f>
        <v>1.489998142891253</v>
      </c>
      <c r="G37" s="25">
        <f>G28/G38</f>
        <v>0.89950139059407175</v>
      </c>
      <c r="H37" s="25">
        <f>H28/H38</f>
        <v>1.0360046178267353</v>
      </c>
      <c r="I37" s="25">
        <f>I28/I38</f>
        <v>1.2617963734942841</v>
      </c>
      <c r="J37" s="25">
        <f>J28/J38</f>
        <v>1.5276781774051194</v>
      </c>
      <c r="K37" s="25">
        <f>K28/K38</f>
        <v>1.0800147379409868</v>
      </c>
      <c r="L37" s="25">
        <f>L28/L38</f>
        <v>1.1287791177928299</v>
      </c>
    </row>
    <row r="38" spans="1:20" x14ac:dyDescent="0.25">
      <c r="B38" s="27" t="s">
        <v>30</v>
      </c>
      <c r="C38">
        <f t="shared" ref="C38:L38" si="7">C40/C39</f>
        <v>41.896000000000001</v>
      </c>
      <c r="D38">
        <f t="shared" si="7"/>
        <v>36.181600000000003</v>
      </c>
      <c r="E38">
        <f t="shared" si="7"/>
        <v>28.347999999999999</v>
      </c>
      <c r="F38">
        <f t="shared" si="7"/>
        <v>30.154399999999999</v>
      </c>
      <c r="G38">
        <f t="shared" si="7"/>
        <v>31.928799999999999</v>
      </c>
      <c r="H38">
        <f t="shared" si="7"/>
        <v>33.2624</v>
      </c>
      <c r="I38">
        <f t="shared" si="7"/>
        <v>31.280799999999999</v>
      </c>
      <c r="J38">
        <f t="shared" si="7"/>
        <v>29.004799999999999</v>
      </c>
      <c r="K38">
        <f t="shared" si="7"/>
        <v>26.055199999999999</v>
      </c>
      <c r="L38">
        <f t="shared" si="7"/>
        <v>24.212</v>
      </c>
    </row>
    <row r="39" spans="1:20" x14ac:dyDescent="0.25">
      <c r="A39" s="3" t="s">
        <v>26</v>
      </c>
      <c r="B39" s="26" t="s">
        <v>28</v>
      </c>
      <c r="C39">
        <v>1250</v>
      </c>
      <c r="D39">
        <v>1250</v>
      </c>
      <c r="E39" s="3">
        <v>1250</v>
      </c>
      <c r="F39" s="3">
        <v>1250</v>
      </c>
      <c r="G39" s="3">
        <v>1250</v>
      </c>
      <c r="H39" s="3">
        <v>1250</v>
      </c>
      <c r="I39" s="3">
        <v>1250</v>
      </c>
      <c r="J39" s="3">
        <v>1250</v>
      </c>
      <c r="K39" s="3">
        <v>1250</v>
      </c>
      <c r="L39" s="3">
        <v>1250</v>
      </c>
    </row>
    <row r="40" spans="1:20" x14ac:dyDescent="0.25">
      <c r="A40" s="3" t="s">
        <v>26</v>
      </c>
      <c r="B40" s="2" t="s">
        <v>31</v>
      </c>
      <c r="C40">
        <v>52370</v>
      </c>
      <c r="D40">
        <v>45227</v>
      </c>
      <c r="E40" s="3">
        <v>35435</v>
      </c>
      <c r="F40" s="3">
        <v>37693</v>
      </c>
      <c r="G40" s="3">
        <v>39911</v>
      </c>
      <c r="H40" s="3">
        <v>41578</v>
      </c>
      <c r="I40" s="3">
        <v>39101</v>
      </c>
      <c r="J40" s="3">
        <v>36256</v>
      </c>
      <c r="K40" s="3">
        <v>32569</v>
      </c>
      <c r="L40" s="3">
        <v>30265</v>
      </c>
    </row>
    <row r="43" spans="1:20" x14ac:dyDescent="0.25">
      <c r="B43" s="80"/>
      <c r="C43" s="80">
        <v>2015</v>
      </c>
      <c r="D43" s="80">
        <v>2016</v>
      </c>
      <c r="E43" s="80">
        <v>2017</v>
      </c>
      <c r="F43" s="80">
        <v>2018</v>
      </c>
      <c r="G43" s="80">
        <v>2019</v>
      </c>
      <c r="H43" s="81" t="s">
        <v>64</v>
      </c>
      <c r="I43" s="81" t="s">
        <v>65</v>
      </c>
      <c r="K43" s="80">
        <v>2020</v>
      </c>
      <c r="L43" s="80">
        <v>2021</v>
      </c>
      <c r="M43" s="81" t="s">
        <v>64</v>
      </c>
      <c r="N43" s="81" t="s">
        <v>65</v>
      </c>
      <c r="P43" s="80">
        <v>2022</v>
      </c>
      <c r="Q43" s="80">
        <v>2023</v>
      </c>
      <c r="R43" s="80">
        <v>2024</v>
      </c>
      <c r="S43" s="81" t="s">
        <v>64</v>
      </c>
      <c r="T43" s="81" t="s">
        <v>65</v>
      </c>
    </row>
    <row r="44" spans="1:20" x14ac:dyDescent="0.25">
      <c r="B44" s="80" t="s">
        <v>62</v>
      </c>
      <c r="C44" s="71">
        <f>VLOOKUP($B44,$B:$L,11,0)</f>
        <v>8.6238228977366591E-2</v>
      </c>
      <c r="D44" s="71">
        <f>VLOOKUP($B44,$B:$L,10,0)</f>
        <v>8.8243421658632443E-2</v>
      </c>
      <c r="E44" s="71">
        <f>VLOOKUP($B44,$B:$L,9,0)</f>
        <v>8.5613415710503085E-2</v>
      </c>
      <c r="F44" s="71">
        <f>VLOOKUP($B44,$B:$L,8,0)</f>
        <v>9.5675302421932937E-2</v>
      </c>
      <c r="G44" s="71">
        <f>VLOOKUP($B44,$B:$L,7,0)</f>
        <v>9.6950310260233777E-2</v>
      </c>
      <c r="H44" s="71">
        <f>AVERAGE(C44:G44)</f>
        <v>9.0544135805733755E-2</v>
      </c>
      <c r="I44" s="71">
        <f>_xlfn.STDEV.P(C44:G44)</f>
        <v>4.8065385017379862E-3</v>
      </c>
      <c r="K44" s="71">
        <f>VLOOKUP($B44,$B:$L,6,0)</f>
        <v>-6.4067550299416201E-2</v>
      </c>
      <c r="L44" s="71">
        <f>VLOOKUP($B44,$B:$L,5,0)</f>
        <v>0.12930782903987478</v>
      </c>
      <c r="M44" s="71">
        <f>AVERAGE(K44:L44)</f>
        <v>3.2620139370229291E-2</v>
      </c>
      <c r="N44" s="71">
        <f>_xlfn.STDEV.P(K44:L44)</f>
        <v>9.6687689669645499E-2</v>
      </c>
      <c r="P44" s="71">
        <f>VLOOKUP($B44,$B:$L,4,0)</f>
        <v>9.275492200408883E-2</v>
      </c>
      <c r="Q44" s="71">
        <f>VLOOKUP($B44,$B:$L,3,0)</f>
        <v>0.12165299489243152</v>
      </c>
      <c r="R44" s="71">
        <f>VLOOKUP($B44,$B:$L,2,0)</f>
        <v>0.17765896505632997</v>
      </c>
      <c r="S44" s="71">
        <f>AVERAGE(P44:R44)</f>
        <v>0.13068896065095012</v>
      </c>
      <c r="T44" s="71">
        <f>_xlfn.STDEV.P(P44:R44)</f>
        <v>3.5245904154913674E-2</v>
      </c>
    </row>
    <row r="45" spans="1:20" x14ac:dyDescent="0.25">
      <c r="B45" s="80" t="s">
        <v>63</v>
      </c>
      <c r="C45" s="71">
        <f>VLOOKUP(B45,B:L,11,0)</f>
        <v>9.7774780849629126E-3</v>
      </c>
      <c r="D45" s="71">
        <f>VLOOKUP($B45,$B:$L,10,0)</f>
        <v>1.0063976636446722E-2</v>
      </c>
      <c r="E45" s="71">
        <f>VLOOKUP($B45,$B:$L,9,0)</f>
        <v>1.0454276014441989E-2</v>
      </c>
      <c r="F45" s="71">
        <f>VLOOKUP($B45,$B:$L,8,0)</f>
        <v>1.1537216079937086E-2</v>
      </c>
      <c r="G45" s="71">
        <f>VLOOKUP($B45,$B:$L,7,0)</f>
        <v>1.15867627487446E-2</v>
      </c>
      <c r="H45" s="71">
        <f>AVERAGE(C45:G45)</f>
        <v>1.0683941912906662E-2</v>
      </c>
      <c r="I45" s="71">
        <f>_xlfn.STDEV.P(C45:G45)</f>
        <v>7.4859098392228136E-4</v>
      </c>
      <c r="K45" s="71">
        <f>VLOOKUP($B45,$B:$L,6,0)</f>
        <v>-6.7831051076224381E-3</v>
      </c>
      <c r="L45" s="71">
        <f>VLOOKUP($B45,$B:$L,5,0)</f>
        <v>1.1657888568380669E-2</v>
      </c>
      <c r="M45" s="71">
        <f>AVERAGE(K45:L45)</f>
        <v>2.4373917303791154E-3</v>
      </c>
      <c r="N45" s="71">
        <f>_xlfn.STDEV.P(K45:L45)</f>
        <v>9.2204968380015535E-3</v>
      </c>
      <c r="P45" s="71">
        <f>VLOOKUP($B45,$B:$L,4,0)</f>
        <v>7.9272948345727717E-3</v>
      </c>
      <c r="Q45" s="71">
        <f>VLOOKUP($B45,$B:$L,3,0)</f>
        <v>1.1106423436935419E-2</v>
      </c>
      <c r="R45" s="71">
        <f>VLOOKUP($B45,$B:$L,2,0)</f>
        <v>1.7714312913513258E-2</v>
      </c>
      <c r="S45" s="71">
        <f>AVERAGE(P45:R45)</f>
        <v>1.2249343728340481E-2</v>
      </c>
      <c r="T45" s="71">
        <f>_xlfn.STDEV.P(P45:R45)</f>
        <v>4.0764470489022759E-3</v>
      </c>
    </row>
    <row r="46" spans="1:20" x14ac:dyDescent="0.25">
      <c r="B46" s="80" t="s">
        <v>2</v>
      </c>
      <c r="C46" s="71">
        <f>VLOOKUP(B46,B:L,11,0)</f>
        <v>0.03</v>
      </c>
      <c r="D46" s="71">
        <f>VLOOKUP($B46,$B:$L,10,0)</f>
        <v>3.2000000000000001E-2</v>
      </c>
      <c r="E46" s="71">
        <f>VLOOKUP($B46,$B:$L,9,0)</f>
        <v>3.3000000000000002E-2</v>
      </c>
      <c r="F46" s="71">
        <f>VLOOKUP($B46,$B:$L,8,0)</f>
        <v>3.4000000000000002E-2</v>
      </c>
      <c r="G46" s="71">
        <f>VLOOKUP($B46,$B:$L,7,0)</f>
        <v>3.4000000000000002E-2</v>
      </c>
      <c r="H46" s="71">
        <f>AVERAGE(C46:G46)</f>
        <v>3.2600000000000004E-2</v>
      </c>
      <c r="I46" s="71">
        <f>_xlfn.STDEV.P(C46:G46)</f>
        <v>1.4966629547095781E-3</v>
      </c>
      <c r="K46" s="71">
        <f>VLOOKUP($B46,$B:$L,6,0)</f>
        <v>0.03</v>
      </c>
      <c r="L46" s="71">
        <f>VLOOKUP($B46,$B:$L,5,0)</f>
        <v>2.7E-2</v>
      </c>
      <c r="M46" s="71">
        <f>AVERAGE(K46:L46)</f>
        <v>2.8499999999999998E-2</v>
      </c>
      <c r="N46" s="71">
        <f>_xlfn.STDEV.P(K46:L46)</f>
        <v>1.4999999999999996E-3</v>
      </c>
      <c r="P46" s="71">
        <f>VLOOKUP($B46,$B:$L,4,0)</f>
        <v>3.7999999999999999E-2</v>
      </c>
      <c r="Q46" s="71">
        <f>VLOOKUP($B46,$B:$L,3,0)</f>
        <v>4.3999999999999997E-2</v>
      </c>
      <c r="R46" s="71">
        <f>VLOOKUP($B46,$B:$L,2,0)</f>
        <v>4.8000000000000001E-2</v>
      </c>
      <c r="S46" s="71">
        <f>AVERAGE(P46:R46)</f>
        <v>4.3333333333333335E-2</v>
      </c>
      <c r="T46" s="71">
        <f>_xlfn.STDEV.P(P46:R46)</f>
        <v>4.109609335312652E-3</v>
      </c>
    </row>
    <row r="49" spans="2:20" x14ac:dyDescent="0.25">
      <c r="B49" s="80"/>
      <c r="C49" s="80">
        <v>2015</v>
      </c>
      <c r="D49" s="80">
        <v>2016</v>
      </c>
      <c r="E49" s="80">
        <v>2017</v>
      </c>
      <c r="F49" s="80">
        <v>2018</v>
      </c>
      <c r="G49" s="80">
        <v>2019</v>
      </c>
      <c r="H49" s="81" t="s">
        <v>64</v>
      </c>
      <c r="I49" s="81" t="s">
        <v>65</v>
      </c>
      <c r="K49" s="80">
        <v>2020</v>
      </c>
      <c r="L49" s="80">
        <v>2021</v>
      </c>
      <c r="M49" s="81" t="s">
        <v>64</v>
      </c>
      <c r="N49" s="81" t="s">
        <v>65</v>
      </c>
      <c r="P49" s="80">
        <v>2022</v>
      </c>
      <c r="Q49" s="80">
        <v>2023</v>
      </c>
      <c r="R49" s="80">
        <v>2024</v>
      </c>
      <c r="S49" s="81" t="s">
        <v>64</v>
      </c>
      <c r="T49" s="81" t="s">
        <v>65</v>
      </c>
    </row>
    <row r="50" spans="2:20" x14ac:dyDescent="0.25">
      <c r="B50" s="80" t="s">
        <v>3</v>
      </c>
      <c r="C50" s="71">
        <f>VLOOKUP($B50,$B:$L,11,0)</f>
        <v>0.56599999999999995</v>
      </c>
      <c r="D50" s="71">
        <f>VLOOKUP($B50,$B:$L,10,0)</f>
        <v>0.47399999999999998</v>
      </c>
      <c r="E50" s="71">
        <f>VLOOKUP($B50,$B:$L,9,0)</f>
        <v>0.46</v>
      </c>
      <c r="F50" s="71">
        <f>VLOOKUP($B50,$B:$L,8,0)</f>
        <v>0.442</v>
      </c>
      <c r="G50" s="71">
        <f>VLOOKUP($B50,$B:$L,7,0)</f>
        <v>0.41299999999999998</v>
      </c>
      <c r="H50" s="71">
        <f>AVERAGE(C50:G50)</f>
        <v>0.47099999999999997</v>
      </c>
      <c r="I50" s="71">
        <f>_xlfn.STDEV.P(C50:G50)</f>
        <v>5.1691391933279901E-2</v>
      </c>
      <c r="K50" s="71">
        <f>VLOOKUP($B50,$B:$L,6,0)</f>
        <v>0.40899999999999997</v>
      </c>
      <c r="L50" s="71">
        <f>VLOOKUP($B50,$B:$L,5,0)</f>
        <v>0.40400000000000003</v>
      </c>
      <c r="M50" s="71">
        <f>AVERAGE(K50:L50)</f>
        <v>0.40649999999999997</v>
      </c>
      <c r="N50" s="71">
        <f>_xlfn.STDEV.P(K50:L50)</f>
        <v>2.4999999999999745E-3</v>
      </c>
      <c r="P50" s="71">
        <f>VLOOKUP($B50,$B:$L,4,0)</f>
        <v>0.45</v>
      </c>
      <c r="Q50" s="71">
        <f>VLOOKUP($B50,$B:$L,3,0)</f>
        <v>0.316</v>
      </c>
      <c r="R50" s="71">
        <f>VLOOKUP($B50,$B:$L,2,0)</f>
        <v>0.29499999999999998</v>
      </c>
      <c r="S50" s="71">
        <f>AVERAGE(P50:R50)</f>
        <v>0.35366666666666663</v>
      </c>
      <c r="T50" s="71">
        <f>_xlfn.STDEV.P(P50:R50)</f>
        <v>6.8655338871463967E-2</v>
      </c>
    </row>
    <row r="51" spans="2:20" x14ac:dyDescent="0.25">
      <c r="B51" s="80" t="s">
        <v>4</v>
      </c>
      <c r="C51" s="71">
        <f>VLOOKUP(B51,B:L,11,0)</f>
        <v>6.6000000000000003E-2</v>
      </c>
      <c r="D51" s="71">
        <f>VLOOKUP($B51,$B:$L,10,0)</f>
        <v>5.8999999999999997E-2</v>
      </c>
      <c r="E51" s="71">
        <f>VLOOKUP($B51,$B:$L,9,0)</f>
        <v>5.5E-2</v>
      </c>
      <c r="F51" s="71">
        <f>VLOOKUP($B51,$B:$L,8,0)</f>
        <v>4.87E-2</v>
      </c>
      <c r="G51" s="71">
        <f>VLOOKUP($B51,$B:$L,7,0)</f>
        <v>4.2599999999999999E-2</v>
      </c>
      <c r="H51" s="71">
        <f>AVERAGE(C51:G51)</f>
        <v>5.4259999999999996E-2</v>
      </c>
      <c r="I51" s="71">
        <f>_xlfn.STDEV.P(C51:G51)</f>
        <v>8.0958260850885651E-3</v>
      </c>
      <c r="K51" s="71">
        <f>VLOOKUP($B51,$B:$L,6,0)</f>
        <v>4.4299999999999999E-2</v>
      </c>
      <c r="L51" s="71">
        <f>VLOOKUP($B51,$B:$L,5,0)</f>
        <v>3.9800000000000002E-2</v>
      </c>
      <c r="M51" s="71">
        <f>AVERAGE(K51:L51)</f>
        <v>4.2050000000000004E-2</v>
      </c>
      <c r="N51" s="71">
        <f>_xlfn.STDEV.P(K51:L51)</f>
        <v>2.2499999999999985E-3</v>
      </c>
      <c r="P51" s="71">
        <f>VLOOKUP($B51,$B:$L,4,0)</f>
        <v>3.7900000000000003E-2</v>
      </c>
      <c r="Q51" s="71">
        <f>VLOOKUP($B51,$B:$L,3,0)</f>
        <v>3.44E-2</v>
      </c>
      <c r="R51" s="71">
        <f>VLOOKUP($B51,$B:$L,2,0)</f>
        <v>3.5900000000000001E-2</v>
      </c>
      <c r="S51" s="71">
        <f>AVERAGE(P51:R51)</f>
        <v>3.606666666666667E-2</v>
      </c>
      <c r="T51" s="71">
        <f>_xlfn.STDEV.P(P51:R51)</f>
        <v>1.4337208778404391E-3</v>
      </c>
    </row>
    <row r="54" spans="2:20" x14ac:dyDescent="0.25">
      <c r="B54" s="80"/>
      <c r="C54" s="80">
        <v>2015</v>
      </c>
      <c r="D54" s="80">
        <v>2016</v>
      </c>
      <c r="E54" s="80">
        <v>2017</v>
      </c>
      <c r="F54" s="80">
        <v>2018</v>
      </c>
      <c r="G54" s="80">
        <v>2019</v>
      </c>
      <c r="H54" s="81" t="s">
        <v>64</v>
      </c>
      <c r="I54" s="81" t="s">
        <v>65</v>
      </c>
      <c r="K54" s="80">
        <v>2020</v>
      </c>
      <c r="L54" s="80">
        <v>2021</v>
      </c>
      <c r="M54" s="81" t="s">
        <v>64</v>
      </c>
      <c r="N54" s="81" t="s">
        <v>65</v>
      </c>
      <c r="P54" s="80">
        <v>2022</v>
      </c>
      <c r="Q54" s="80">
        <v>2023</v>
      </c>
      <c r="R54" s="80">
        <v>2024</v>
      </c>
      <c r="S54" s="81" t="s">
        <v>64</v>
      </c>
      <c r="T54" s="81" t="s">
        <v>65</v>
      </c>
    </row>
    <row r="55" spans="2:20" x14ac:dyDescent="0.25">
      <c r="B55" s="80" t="s">
        <v>5</v>
      </c>
      <c r="C55" s="71">
        <f>VLOOKUP($B55,$B:$L,11,0)</f>
        <v>0.14610000000000001</v>
      </c>
      <c r="D55" s="71">
        <f>VLOOKUP($B55,$B:$L,10,0)</f>
        <v>0.15809999999999999</v>
      </c>
      <c r="E55" s="71">
        <f>VLOOKUP($B55,$B:$L,9,0)</f>
        <v>0.17369999999999999</v>
      </c>
      <c r="F55" s="71">
        <f>VLOOKUP($B55,$B:$L,8,0)</f>
        <v>0.1888</v>
      </c>
      <c r="G55" s="71">
        <f>VLOOKUP($B55,$B:$L,7,0)</f>
        <v>0.1988</v>
      </c>
      <c r="H55" s="71">
        <f>AVERAGE(C55:G55)</f>
        <v>0.17309999999999998</v>
      </c>
      <c r="I55" s="71">
        <f>_xlfn.STDEV.P(C55:G55)</f>
        <v>1.9294247847480579E-2</v>
      </c>
      <c r="K55" s="71">
        <f>VLOOKUP($B55,$B:$L,6,0)</f>
        <v>0.18179999999999999</v>
      </c>
      <c r="L55" s="71">
        <f>VLOOKUP($B55,$B:$L,5,0)</f>
        <v>0.18729999999999999</v>
      </c>
      <c r="M55" s="71">
        <f>AVERAGE(K55:L55)</f>
        <v>0.18454999999999999</v>
      </c>
      <c r="N55" s="71">
        <f>_xlfn.STDEV.P(K55:L55)</f>
        <v>2.7500000000000024E-3</v>
      </c>
      <c r="P55" s="71">
        <f>VLOOKUP($B55,$B:$L,4,0)</f>
        <v>0.19070000000000001</v>
      </c>
      <c r="Q55" s="71">
        <f>VLOOKUP($B55,$B:$L,3,0)</f>
        <v>0.18840000000000001</v>
      </c>
      <c r="R55" s="71">
        <f>VLOOKUP($B55,$B:$L,2,0)</f>
        <v>0.18579999999999999</v>
      </c>
      <c r="S55" s="71">
        <f>AVERAGE(P55:R55)</f>
        <v>0.1883</v>
      </c>
      <c r="T55" s="71">
        <f>_xlfn.STDEV.P(P55:R55)</f>
        <v>2.0016659728003304E-3</v>
      </c>
    </row>
    <row r="56" spans="2:20" x14ac:dyDescent="0.25">
      <c r="B56" s="80" t="s">
        <v>20</v>
      </c>
      <c r="C56" s="71" t="s">
        <v>54</v>
      </c>
      <c r="D56" s="71" t="s">
        <v>54</v>
      </c>
      <c r="E56" s="71">
        <f>VLOOKUP($B56,$B:$L,9,0)</f>
        <v>1.607</v>
      </c>
      <c r="F56" s="71">
        <f>VLOOKUP($B56,$B:$L,8,0)</f>
        <v>1.2729999999999999</v>
      </c>
      <c r="G56" s="71">
        <f>VLOOKUP($B56,$B:$L,7,0)</f>
        <v>1.39</v>
      </c>
      <c r="H56" s="71">
        <f>AVERAGE(E56:G56)</f>
        <v>1.4233333333333331</v>
      </c>
      <c r="I56" s="71">
        <f>_xlfn.STDEV.P(E56:G56)</f>
        <v>0.13837710150968704</v>
      </c>
      <c r="K56" s="71">
        <f>VLOOKUP($B56,$B:$L,6,0)</f>
        <v>2.0470000000000002</v>
      </c>
      <c r="L56" s="71">
        <f>VLOOKUP($B56,$B:$L,5,0)</f>
        <v>1.7649999999999999</v>
      </c>
      <c r="M56" s="71">
        <f>AVERAGE(K56:L56)</f>
        <v>1.9060000000000001</v>
      </c>
      <c r="N56" s="71">
        <f>_xlfn.STDEV.P(K56:L56)</f>
        <v>0.14100000000000013</v>
      </c>
      <c r="P56" s="71">
        <f>VLOOKUP($B56,$B:$L,4,0)</f>
        <v>1.5580000000000001</v>
      </c>
      <c r="Q56" s="71">
        <f>VLOOKUP($B56,$B:$L,3,0)</f>
        <v>2.3140000000000001</v>
      </c>
      <c r="R56" s="71">
        <f>VLOOKUP($B56,$B:$L,2,0)</f>
        <v>2.3109999999999999</v>
      </c>
      <c r="S56" s="71">
        <f>AVERAGE(P56:R56)</f>
        <v>2.0609999999999999</v>
      </c>
      <c r="T56" s="71">
        <f>_xlfn.STDEV.P(P56:R56)</f>
        <v>0.35567681959891606</v>
      </c>
    </row>
    <row r="57" spans="2:20" x14ac:dyDescent="0.25">
      <c r="B57" s="80" t="s">
        <v>17</v>
      </c>
      <c r="C57" s="71">
        <f>VLOOKUP(B57,B:L,11,0)</f>
        <v>1.0221146043297296</v>
      </c>
      <c r="D57" s="71">
        <f>VLOOKUP($B57,$B:$L,10,0)</f>
        <v>1.042828486457356</v>
      </c>
      <c r="E57" s="71">
        <f>VLOOKUP($B57,$B:$L,9,0)</f>
        <v>0.98644768207044442</v>
      </c>
      <c r="F57" s="71">
        <f>VLOOKUP($B57,$B:$L,8,0)</f>
        <v>0.96529450450941046</v>
      </c>
      <c r="G57" s="71">
        <f>VLOOKUP($B57,$B:$L,7,0)</f>
        <v>0.95281648905024008</v>
      </c>
      <c r="H57" s="71">
        <f>AVERAGE(C57:G57)</f>
        <v>0.99390035328343607</v>
      </c>
      <c r="I57" s="71">
        <f>_xlfn.STDEV.P(C57:G57)</f>
        <v>3.3916742091808227E-2</v>
      </c>
      <c r="K57" s="71">
        <f>VLOOKUP($B57,$B:$L,6,0)</f>
        <v>0.83485741404468117</v>
      </c>
      <c r="L57" s="71">
        <f>VLOOKUP($B57,$B:$L,5,0)</f>
        <v>0.76815101645692163</v>
      </c>
      <c r="M57" s="71">
        <f>AVERAGE(K57:L57)</f>
        <v>0.8015042152508014</v>
      </c>
      <c r="N57" s="71">
        <f>_xlfn.STDEV.P(K57:L57)</f>
        <v>3.3353198793879768E-2</v>
      </c>
      <c r="P57" s="71">
        <f>VLOOKUP($B57,$B:$L,4,0)</f>
        <v>0.73072405774519877</v>
      </c>
      <c r="Q57" s="71">
        <f>VLOOKUP($B57,$B:$L,3,0)</f>
        <v>0.65862377346296153</v>
      </c>
      <c r="R57" s="71">
        <f>VLOOKUP($B57,$B:$L,2,0)</f>
        <v>0.68196046481711758</v>
      </c>
      <c r="S57" s="71">
        <f>AVERAGE(P57:R57)</f>
        <v>0.6904360986750927</v>
      </c>
      <c r="T57" s="71">
        <f>_xlfn.STDEV.P(P57:R57)</f>
        <v>3.0038753029663717E-2</v>
      </c>
    </row>
    <row r="60" spans="2:20" x14ac:dyDescent="0.25">
      <c r="B60" s="80"/>
      <c r="C60" s="80">
        <v>2015</v>
      </c>
      <c r="D60" s="80">
        <v>2016</v>
      </c>
      <c r="E60" s="80">
        <v>2017</v>
      </c>
      <c r="F60" s="80">
        <v>2018</v>
      </c>
      <c r="G60" s="80">
        <v>2019</v>
      </c>
      <c r="H60" s="97" t="s">
        <v>64</v>
      </c>
      <c r="I60" s="97" t="s">
        <v>65</v>
      </c>
      <c r="K60" s="80">
        <v>2020</v>
      </c>
      <c r="L60" s="80">
        <v>2021</v>
      </c>
      <c r="M60" s="81" t="s">
        <v>64</v>
      </c>
      <c r="N60" s="81" t="s">
        <v>65</v>
      </c>
      <c r="P60" s="80">
        <v>2022</v>
      </c>
      <c r="Q60" s="80">
        <v>2023</v>
      </c>
      <c r="R60" s="80">
        <v>2024</v>
      </c>
      <c r="S60" s="81" t="s">
        <v>64</v>
      </c>
      <c r="T60" s="81" t="s">
        <v>65</v>
      </c>
    </row>
    <row r="61" spans="2:20" x14ac:dyDescent="0.25">
      <c r="B61" s="96" t="s">
        <v>80</v>
      </c>
      <c r="C61" s="73">
        <f>VLOOKUP($B61,$B:$L,11,0)</f>
        <v>27.33</v>
      </c>
      <c r="D61" s="73">
        <f>VLOOKUP($B61,$B:$L,10,0)</f>
        <v>28.14</v>
      </c>
      <c r="E61" s="73">
        <f>VLOOKUP($B61,$B:$L,9,0)</f>
        <v>44.31</v>
      </c>
      <c r="F61" s="73">
        <f>VLOOKUP($B61,$B:$L,8,0)</f>
        <v>39.47</v>
      </c>
      <c r="G61" s="73">
        <f>VLOOKUP($B61,$B:$L,7,0)</f>
        <v>34.46</v>
      </c>
      <c r="H61" s="99">
        <f>AVERAGE(C61:G61)</f>
        <v>34.742000000000004</v>
      </c>
      <c r="I61" s="99">
        <f>_xlfn.STDEV.P(C61:G61)</f>
        <v>6.5192680570751236</v>
      </c>
      <c r="K61" s="73">
        <f>VLOOKUP($B61,$B:$L,6,0)</f>
        <v>28.72</v>
      </c>
      <c r="L61" s="73">
        <f>VLOOKUP($B61,$B:$L,5,0)</f>
        <v>44.93</v>
      </c>
      <c r="M61" s="73">
        <f>AVERAGE(K61:L61)</f>
        <v>36.825000000000003</v>
      </c>
      <c r="N61" s="73">
        <f>_xlfn.STDEV.P(K61:L61)</f>
        <v>8.1049999999999773</v>
      </c>
      <c r="P61" s="73">
        <f>VLOOKUP($B61,$B:$L,4,0)</f>
        <v>30.29</v>
      </c>
      <c r="Q61" s="73">
        <f>VLOOKUP($B61,$B:$L,3,0)</f>
        <v>50.32</v>
      </c>
      <c r="R61" s="73">
        <f>VLOOKUP($B61,$B:$L,2,0)</f>
        <v>59.76</v>
      </c>
      <c r="S61" s="73">
        <f>AVERAGE(P61:R61)</f>
        <v>46.79</v>
      </c>
      <c r="T61" s="73">
        <f>_xlfn.STDEV.P(P61:R61)</f>
        <v>12.287280686411725</v>
      </c>
    </row>
    <row r="62" spans="2:20" x14ac:dyDescent="0.25">
      <c r="B62" s="80" t="s">
        <v>18</v>
      </c>
      <c r="C62" s="73">
        <f>VLOOKUP($B62,$B:$L,11,0)</f>
        <v>13.089080459770114</v>
      </c>
      <c r="D62" s="73">
        <f>VLOOKUP($B62,$B:$L,10,0)</f>
        <v>12.239039665970774</v>
      </c>
      <c r="E62" s="73">
        <f>VLOOKUP($B62,$B:$L,9,0)</f>
        <v>17.843911082474229</v>
      </c>
      <c r="F62" s="73">
        <f>VLOOKUP($B62,$B:$L,8,0)</f>
        <v>13.188318631381984</v>
      </c>
      <c r="G62" s="73">
        <f>VLOOKUP($B62,$B:$L,7,0)</f>
        <v>10.685934011411561</v>
      </c>
      <c r="H62" s="99">
        <f>AVERAGE(C62:G62)</f>
        <v>13.409256770201733</v>
      </c>
      <c r="I62" s="99">
        <f>_xlfn.STDEV.P(C62:G62)</f>
        <v>2.3917934827188927</v>
      </c>
      <c r="J62" s="82"/>
      <c r="K62" s="73">
        <f>VLOOKUP($B62,$B:$L,6,0)</f>
        <v>-14.039890496675792</v>
      </c>
      <c r="L62" s="73">
        <f>VLOOKUP($B62,$B:$L,5,0)</f>
        <v>11.522876487484613</v>
      </c>
      <c r="M62" s="73">
        <f>AVERAGE(K62:L62)</f>
        <v>-1.2585070045955895</v>
      </c>
      <c r="N62" s="73">
        <f>_xlfn.STDEV.P(K62:L62)</f>
        <v>12.781383492080202</v>
      </c>
      <c r="O62" s="82"/>
      <c r="P62" s="73">
        <f>VLOOKUP($B62,$B:$L,4,0)</f>
        <v>11.431914251207729</v>
      </c>
      <c r="Q62" s="73">
        <f>VLOOKUP($B62,$B:$L,3,0)</f>
        <v>11.432206470374409</v>
      </c>
      <c r="R62" s="73">
        <f>VLOOKUP($B62,$B:$L,2,0)</f>
        <v>8.0288048151332756</v>
      </c>
      <c r="S62" s="73">
        <f>AVERAGE(P62:R62)</f>
        <v>10.297641845571805</v>
      </c>
      <c r="T62" s="73">
        <f>_xlfn.STDEV.P(P62:R62)</f>
        <v>1.6043100540657809</v>
      </c>
    </row>
    <row r="63" spans="2:20" x14ac:dyDescent="0.25">
      <c r="B63" s="80" t="s">
        <v>19</v>
      </c>
      <c r="C63" s="73">
        <f>VLOOKUP(B63,B:L,11,0)</f>
        <v>1.1287791177928299</v>
      </c>
      <c r="D63" s="73">
        <f>VLOOKUP($B63,$B:$L,10,0)</f>
        <v>1.0800147379409868</v>
      </c>
      <c r="E63" s="73">
        <f>VLOOKUP($B63,$B:$L,9,0)</f>
        <v>1.5276781774051194</v>
      </c>
      <c r="F63" s="73">
        <f>VLOOKUP($B63,$B:$L,8,0)</f>
        <v>1.2617963734942841</v>
      </c>
      <c r="G63" s="73">
        <f>VLOOKUP($B63,$B:$L,7,0)</f>
        <v>1.0360046178267353</v>
      </c>
      <c r="H63" s="99">
        <f>AVERAGE(C63:G63)</f>
        <v>1.206854604891991</v>
      </c>
      <c r="I63" s="99">
        <f>_xlfn.STDEV.P(C63:G63)</f>
        <v>0.17738106676381973</v>
      </c>
      <c r="J63" s="82"/>
      <c r="K63" s="73">
        <f>VLOOKUP($B63,$B:$L,6,0)</f>
        <v>0.89950139059407175</v>
      </c>
      <c r="L63" s="73">
        <f>VLOOKUP($B63,$B:$L,5,0)</f>
        <v>1.489998142891253</v>
      </c>
      <c r="M63" s="73">
        <f>AVERAGE(K63:L63)</f>
        <v>1.1947497667426623</v>
      </c>
      <c r="N63" s="73">
        <f>_xlfn.STDEV.P(K63:L63)</f>
        <v>0.2952483761485909</v>
      </c>
      <c r="O63" s="82"/>
      <c r="P63" s="73">
        <f>VLOOKUP($B63,$B:$L,4,0)</f>
        <v>1.068505714688867</v>
      </c>
      <c r="Q63" s="73">
        <f>VLOOKUP($B63,$B:$L,3,0)</f>
        <v>1.3907621553496803</v>
      </c>
      <c r="R63" s="73">
        <f>VLOOKUP($B63,$B:$L,2,0)</f>
        <v>1.4263891540958564</v>
      </c>
      <c r="S63" s="73">
        <f>AVERAGE(P63:R63)</f>
        <v>1.2952190080448014</v>
      </c>
      <c r="T63" s="73">
        <f>_xlfn.STDEV.P(P63:R63)</f>
        <v>0.16096895932267064</v>
      </c>
    </row>
  </sheetData>
  <mergeCells count="3">
    <mergeCell ref="C30:E30"/>
    <mergeCell ref="F30:G30"/>
    <mergeCell ref="H30:L30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F2706-F2C4-49CA-88A0-37305169460C}">
  <dimension ref="A1:T56"/>
  <sheetViews>
    <sheetView workbookViewId="0">
      <selection activeCell="E13" sqref="E13"/>
    </sheetView>
  </sheetViews>
  <sheetFormatPr defaultRowHeight="15" x14ac:dyDescent="0.25"/>
  <cols>
    <col min="1" max="1" width="31.42578125" style="3" bestFit="1" customWidth="1"/>
    <col min="2" max="2" width="20" customWidth="1"/>
    <col min="3" max="4" width="13.28515625" customWidth="1"/>
    <col min="5" max="5" width="14" customWidth="1"/>
    <col min="6" max="6" width="12" customWidth="1"/>
    <col min="7" max="7" width="13.28515625" customWidth="1"/>
    <col min="8" max="12" width="13.28515625" bestFit="1" customWidth="1"/>
  </cols>
  <sheetData>
    <row r="1" spans="1:12" x14ac:dyDescent="0.25">
      <c r="C1" s="16">
        <v>2024</v>
      </c>
      <c r="D1" s="17">
        <v>2023</v>
      </c>
      <c r="E1" s="17">
        <v>2022</v>
      </c>
      <c r="F1" s="17">
        <v>2021</v>
      </c>
      <c r="G1" s="17">
        <v>2020</v>
      </c>
      <c r="H1" s="17">
        <v>2019</v>
      </c>
      <c r="I1" s="17">
        <v>2018</v>
      </c>
      <c r="J1" s="17">
        <v>2017</v>
      </c>
      <c r="K1" s="17">
        <v>2016</v>
      </c>
      <c r="L1" s="18">
        <v>2015</v>
      </c>
    </row>
    <row r="2" spans="1:12" s="3" customFormat="1" x14ac:dyDescent="0.25">
      <c r="A2" s="11" t="s">
        <v>8</v>
      </c>
      <c r="B2" s="4" t="s">
        <v>0</v>
      </c>
      <c r="C2" s="12">
        <f>C3/C4</f>
        <v>6.6764995083579151E-2</v>
      </c>
      <c r="D2" s="12">
        <f t="shared" ref="D2:L2" si="0">D3/D4</f>
        <v>0.12988059851881706</v>
      </c>
      <c r="E2" s="12">
        <f t="shared" si="0"/>
        <v>0.20235557450437008</v>
      </c>
      <c r="F2" s="12">
        <f t="shared" si="0"/>
        <v>9.7447495961227787E-2</v>
      </c>
      <c r="G2" s="12">
        <f t="shared" si="0"/>
        <v>6.3689809630459129E-2</v>
      </c>
      <c r="H2" s="12">
        <f t="shared" si="0"/>
        <v>9.9164547766073377E-2</v>
      </c>
      <c r="I2" s="12">
        <f t="shared" si="0"/>
        <v>0.11262386208007734</v>
      </c>
      <c r="J2" s="12">
        <f t="shared" si="0"/>
        <v>0.11084423094030781</v>
      </c>
      <c r="K2" s="12">
        <f t="shared" si="0"/>
        <v>6.2175043327556329E-2</v>
      </c>
      <c r="L2" s="12">
        <f t="shared" si="0"/>
        <v>5.117045053523115E-2</v>
      </c>
    </row>
    <row r="3" spans="1:12" s="3" customFormat="1" x14ac:dyDescent="0.25">
      <c r="A3" s="11"/>
      <c r="B3" s="30" t="s">
        <v>33</v>
      </c>
      <c r="C3" s="7">
        <v>1358</v>
      </c>
      <c r="D3" s="7">
        <v>2578</v>
      </c>
      <c r="E3" s="7">
        <v>3797</v>
      </c>
      <c r="F3" s="7">
        <v>1508</v>
      </c>
      <c r="G3" s="7">
        <v>910</v>
      </c>
      <c r="H3" s="7">
        <v>1365</v>
      </c>
      <c r="I3" s="7">
        <v>1398</v>
      </c>
      <c r="J3" s="7">
        <v>1246</v>
      </c>
      <c r="K3" s="7">
        <v>574</v>
      </c>
      <c r="L3" s="7">
        <v>435</v>
      </c>
    </row>
    <row r="4" spans="1:12" s="3" customFormat="1" x14ac:dyDescent="0.25">
      <c r="A4" s="11"/>
      <c r="B4" s="30" t="s">
        <v>31</v>
      </c>
      <c r="C4" s="32">
        <v>20340</v>
      </c>
      <c r="D4" s="32">
        <v>19849</v>
      </c>
      <c r="E4" s="32">
        <v>18764</v>
      </c>
      <c r="F4" s="32">
        <v>15475</v>
      </c>
      <c r="G4" s="32">
        <v>14288</v>
      </c>
      <c r="H4" s="32">
        <v>13765</v>
      </c>
      <c r="I4" s="32">
        <v>12413</v>
      </c>
      <c r="J4" s="32">
        <v>11241</v>
      </c>
      <c r="K4" s="32">
        <v>9232</v>
      </c>
      <c r="L4" s="32">
        <v>8501</v>
      </c>
    </row>
    <row r="5" spans="1:12" s="5" customFormat="1" x14ac:dyDescent="0.25">
      <c r="A5" s="11" t="s">
        <v>9</v>
      </c>
      <c r="B5" s="6" t="s">
        <v>1</v>
      </c>
      <c r="C5" s="12">
        <f t="shared" ref="C5:L5" si="1">C6/C7</f>
        <v>6.7950623214294648E-3</v>
      </c>
      <c r="D5" s="12">
        <f t="shared" si="1"/>
        <v>1.3004373464621344E-2</v>
      </c>
      <c r="E5" s="12">
        <f t="shared" si="1"/>
        <v>1.833794558986173E-2</v>
      </c>
      <c r="F5" s="12">
        <f t="shared" si="1"/>
        <v>7.8500372200040608E-3</v>
      </c>
      <c r="G5" s="12">
        <f t="shared" si="1"/>
        <v>5.4832820154375479E-3</v>
      </c>
      <c r="H5" s="12">
        <f t="shared" si="1"/>
        <v>8.968462549277266E-3</v>
      </c>
      <c r="I5" s="12">
        <f t="shared" si="1"/>
        <v>9.9775184669735582E-3</v>
      </c>
      <c r="J5" s="12">
        <f t="shared" si="1"/>
        <v>9.2196587394373485E-3</v>
      </c>
      <c r="K5" s="12">
        <f t="shared" si="1"/>
        <v>5.1312307802331399E-3</v>
      </c>
      <c r="L5" s="12">
        <f t="shared" si="1"/>
        <v>3.8015503334003337E-3</v>
      </c>
    </row>
    <row r="6" spans="1:12" s="5" customFormat="1" x14ac:dyDescent="0.25">
      <c r="A6" s="11"/>
      <c r="B6" s="30" t="s">
        <v>33</v>
      </c>
      <c r="C6" s="7">
        <v>1358</v>
      </c>
      <c r="D6" s="7">
        <v>2578</v>
      </c>
      <c r="E6" s="7">
        <v>3797</v>
      </c>
      <c r="F6" s="7">
        <v>1508</v>
      </c>
      <c r="G6" s="7">
        <v>910</v>
      </c>
      <c r="H6" s="7">
        <v>1365</v>
      </c>
      <c r="I6" s="7">
        <v>1398</v>
      </c>
      <c r="J6" s="7">
        <v>1246</v>
      </c>
      <c r="K6" s="7">
        <v>574</v>
      </c>
      <c r="L6" s="7">
        <v>435</v>
      </c>
    </row>
    <row r="7" spans="1:12" s="5" customFormat="1" x14ac:dyDescent="0.25">
      <c r="A7" s="11"/>
      <c r="B7" s="30" t="s">
        <v>32</v>
      </c>
      <c r="C7" s="7">
        <v>199851</v>
      </c>
      <c r="D7" s="7">
        <v>198241</v>
      </c>
      <c r="E7" s="7">
        <v>207057</v>
      </c>
      <c r="F7" s="7">
        <v>192101</v>
      </c>
      <c r="G7" s="7">
        <v>165959</v>
      </c>
      <c r="H7" s="7">
        <v>152200</v>
      </c>
      <c r="I7" s="7">
        <v>140115</v>
      </c>
      <c r="J7" s="7">
        <v>135146</v>
      </c>
      <c r="K7" s="7">
        <v>111864</v>
      </c>
      <c r="L7" s="7">
        <v>114427</v>
      </c>
    </row>
    <row r="8" spans="1:12" s="5" customFormat="1" x14ac:dyDescent="0.25">
      <c r="A8" s="11" t="s">
        <v>10</v>
      </c>
      <c r="B8" s="13" t="s">
        <v>2</v>
      </c>
      <c r="C8" s="12">
        <v>2.98E-2</v>
      </c>
      <c r="D8" s="12">
        <v>2.86E-2</v>
      </c>
      <c r="E8" s="12">
        <v>2.5899999999999999E-2</v>
      </c>
      <c r="F8" s="12">
        <v>2.01E-2</v>
      </c>
      <c r="G8" s="12">
        <v>2.1299999999999999E-2</v>
      </c>
      <c r="H8" s="12">
        <v>2.4400000000000002E-2</v>
      </c>
      <c r="I8" s="12">
        <v>2.5000000000000001E-2</v>
      </c>
      <c r="J8" s="12">
        <v>2.4799999999999999E-2</v>
      </c>
      <c r="K8" s="12">
        <v>2.7799999999999998E-2</v>
      </c>
      <c r="L8" s="12">
        <v>0.03</v>
      </c>
    </row>
    <row r="9" spans="1:12" s="5" customFormat="1" x14ac:dyDescent="0.25">
      <c r="A9" s="11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s="5" customFormat="1" x14ac:dyDescent="0.25">
      <c r="A10" s="11" t="s">
        <v>11</v>
      </c>
      <c r="B10" s="4" t="s">
        <v>3</v>
      </c>
      <c r="C10" s="12">
        <v>0.43</v>
      </c>
      <c r="D10" s="12">
        <v>0.43</v>
      </c>
      <c r="E10" s="12">
        <v>0.36199999999999999</v>
      </c>
      <c r="F10" s="12">
        <v>0.53</v>
      </c>
      <c r="G10" s="12">
        <v>0.55400000000000005</v>
      </c>
      <c r="H10" s="12">
        <v>0.55100000000000005</v>
      </c>
      <c r="I10" s="12">
        <v>0.55400000000000005</v>
      </c>
      <c r="J10" s="12">
        <v>0.57099999999999995</v>
      </c>
      <c r="K10" s="12">
        <v>0.60699999999999998</v>
      </c>
      <c r="L10" s="12">
        <v>0.59099999999999997</v>
      </c>
    </row>
    <row r="11" spans="1:12" s="3" customFormat="1" x14ac:dyDescent="0.25">
      <c r="A11" s="3" t="s">
        <v>25</v>
      </c>
      <c r="B11" s="8" t="s">
        <v>20</v>
      </c>
      <c r="C11" s="9">
        <v>1.82</v>
      </c>
      <c r="D11" s="9">
        <v>1.89</v>
      </c>
      <c r="E11" s="9">
        <v>2.02</v>
      </c>
      <c r="F11" s="9">
        <v>1.53</v>
      </c>
      <c r="G11" s="9">
        <v>1.64</v>
      </c>
      <c r="H11" s="9">
        <v>1.4</v>
      </c>
      <c r="I11" s="9">
        <v>1.34</v>
      </c>
      <c r="J11" s="9">
        <v>1.39</v>
      </c>
      <c r="K11" s="34">
        <v>1.84</v>
      </c>
      <c r="L11" s="21"/>
    </row>
    <row r="12" spans="1:12" s="5" customFormat="1" x14ac:dyDescent="0.25">
      <c r="A12" s="11" t="s">
        <v>12</v>
      </c>
      <c r="B12" s="13" t="s">
        <v>4</v>
      </c>
      <c r="C12" s="12">
        <v>2.1000000000000001E-2</v>
      </c>
      <c r="D12" s="12">
        <v>1.9E-2</v>
      </c>
      <c r="E12" s="12">
        <v>1.6E-2</v>
      </c>
      <c r="F12" s="12">
        <v>1.6E-2</v>
      </c>
      <c r="G12" s="12">
        <v>1.9E-2</v>
      </c>
      <c r="H12" s="12">
        <v>2.1000000000000001E-2</v>
      </c>
      <c r="I12" s="12">
        <v>2.5999999999999999E-2</v>
      </c>
      <c r="J12" s="12">
        <v>0.04</v>
      </c>
      <c r="K12" s="12">
        <v>9.1999999999999998E-2</v>
      </c>
      <c r="L12" s="12">
        <v>0.11899999999999999</v>
      </c>
    </row>
    <row r="13" spans="1:12" s="5" customFormat="1" x14ac:dyDescent="0.25">
      <c r="A13" s="11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s="5" customFormat="1" x14ac:dyDescent="0.25">
      <c r="A14" s="11" t="s">
        <v>13</v>
      </c>
      <c r="B14" s="15" t="s">
        <v>5</v>
      </c>
      <c r="C14" s="12">
        <v>0.215</v>
      </c>
      <c r="D14" s="12">
        <v>0.215</v>
      </c>
      <c r="E14" s="12">
        <v>0.20200000000000001</v>
      </c>
      <c r="F14" s="12">
        <v>0.17599999999999999</v>
      </c>
      <c r="G14" s="12">
        <v>0.185</v>
      </c>
      <c r="H14" s="12">
        <v>0.18</v>
      </c>
      <c r="I14" s="12">
        <v>0.183</v>
      </c>
      <c r="J14" s="12">
        <v>0.17799999999999999</v>
      </c>
      <c r="K14" s="12">
        <v>0.189</v>
      </c>
      <c r="L14" s="12">
        <v>0.16800000000000001</v>
      </c>
    </row>
    <row r="15" spans="1:12" s="5" customFormat="1" x14ac:dyDescent="0.25">
      <c r="A15" s="11" t="s">
        <v>14</v>
      </c>
      <c r="B15" s="15" t="s">
        <v>17</v>
      </c>
      <c r="C15" s="14">
        <f>C17/C18</f>
        <v>0.83568769007759425</v>
      </c>
      <c r="D15" s="14">
        <f t="shared" ref="D15:L15" si="2">D17/D18</f>
        <v>0.78453851282157017</v>
      </c>
      <c r="E15" s="14">
        <f t="shared" si="2"/>
        <v>0.7493133425727605</v>
      </c>
      <c r="F15" s="14">
        <f t="shared" si="2"/>
        <v>0.78433493589743586</v>
      </c>
      <c r="G15" s="14">
        <f t="shared" si="2"/>
        <v>0.78199081023827843</v>
      </c>
      <c r="H15" s="14">
        <f t="shared" si="2"/>
        <v>0.839911200874638</v>
      </c>
      <c r="I15" s="14">
        <f t="shared" si="2"/>
        <v>0.81846187104793822</v>
      </c>
      <c r="J15" s="14">
        <f t="shared" si="2"/>
        <v>0.82426037707727851</v>
      </c>
      <c r="K15" s="14">
        <f t="shared" si="2"/>
        <v>0.95329207862104937</v>
      </c>
      <c r="L15" s="14">
        <f t="shared" si="2"/>
        <v>0.94608716026241801</v>
      </c>
    </row>
    <row r="17" spans="1:13" x14ac:dyDescent="0.25">
      <c r="B17" s="1" t="s">
        <v>6</v>
      </c>
      <c r="C17" s="7">
        <f>18057+99551</f>
        <v>117608</v>
      </c>
      <c r="D17" s="7">
        <f>14714+99434</f>
        <v>114148</v>
      </c>
      <c r="E17" s="7">
        <f>15716+103230</f>
        <v>118946</v>
      </c>
      <c r="F17" s="7">
        <f>16630+100832</f>
        <v>117462</v>
      </c>
      <c r="G17" s="7">
        <f>11952+90671</f>
        <v>102623</v>
      </c>
      <c r="H17" s="7">
        <f>9435+91204</f>
        <v>100639</v>
      </c>
      <c r="I17" s="7">
        <f>9998+80866</f>
        <v>90864</v>
      </c>
      <c r="J17" s="7">
        <f>10741+77745</f>
        <v>88486</v>
      </c>
      <c r="K17" s="7">
        <f>9900+70514</f>
        <v>80414</v>
      </c>
      <c r="L17" s="7">
        <f>10837+69921</f>
        <v>80758</v>
      </c>
    </row>
    <row r="18" spans="1:13" x14ac:dyDescent="0.25">
      <c r="B18" s="2" t="s">
        <v>7</v>
      </c>
      <c r="C18" s="7">
        <f>23015+117717</f>
        <v>140732</v>
      </c>
      <c r="D18" s="7">
        <f>26144+119353</f>
        <v>145497</v>
      </c>
      <c r="E18" s="7">
        <f>33641+125099</f>
        <v>158740</v>
      </c>
      <c r="F18" s="7">
        <f>34607+115153</f>
        <v>149760</v>
      </c>
      <c r="G18" s="7">
        <f>29121+102112</f>
        <v>131233</v>
      </c>
      <c r="H18" s="7">
        <f>23607+96214</f>
        <v>119821</v>
      </c>
      <c r="I18" s="7">
        <f>23980+87038</f>
        <v>111018</v>
      </c>
      <c r="J18" s="7">
        <f>22378+84974</f>
        <v>107352</v>
      </c>
      <c r="K18" s="7">
        <f>12816+71538</f>
        <v>84354</v>
      </c>
      <c r="L18" s="7">
        <f>16369+68991</f>
        <v>85360</v>
      </c>
    </row>
    <row r="20" spans="1:13" s="5" customFormat="1" x14ac:dyDescent="0.25">
      <c r="A20" t="s">
        <v>23</v>
      </c>
      <c r="B20" s="4" t="s">
        <v>18</v>
      </c>
      <c r="C20" s="23">
        <f>C27</f>
        <v>6.1912225705329158</v>
      </c>
      <c r="D20" s="23">
        <f t="shared" ref="D20:L20" si="3">D27</f>
        <v>2.6940836940836945</v>
      </c>
      <c r="E20" s="23">
        <f t="shared" si="3"/>
        <v>1.4265799256505576</v>
      </c>
      <c r="F20" s="23">
        <f t="shared" si="3"/>
        <v>6.6529562982005137</v>
      </c>
      <c r="G20" s="23">
        <f t="shared" si="3"/>
        <v>7.5135135135135132</v>
      </c>
      <c r="H20" s="23">
        <f t="shared" si="3"/>
        <v>6.3248587570621471</v>
      </c>
      <c r="I20" s="23">
        <f t="shared" si="3"/>
        <v>6.0326086956521738</v>
      </c>
      <c r="J20" s="23">
        <f t="shared" si="3"/>
        <v>9.0419161676646702</v>
      </c>
      <c r="K20" s="23">
        <f t="shared" si="3"/>
        <v>10.999999999999998</v>
      </c>
      <c r="L20" s="23">
        <f t="shared" si="3"/>
        <v>10.469230769230768</v>
      </c>
    </row>
    <row r="21" spans="1:13" s="5" customFormat="1" x14ac:dyDescent="0.25">
      <c r="A21" t="s">
        <v>24</v>
      </c>
      <c r="B21" s="13" t="s">
        <v>19</v>
      </c>
      <c r="C21" s="23">
        <f>C30</f>
        <v>0.31939847590953785</v>
      </c>
      <c r="D21" s="23">
        <f t="shared" ref="D21:L21" si="4">D30</f>
        <v>0.30940147110685678</v>
      </c>
      <c r="E21" s="23">
        <f t="shared" si="4"/>
        <v>0.26909129183542951</v>
      </c>
      <c r="F21" s="23">
        <f t="shared" si="4"/>
        <v>0.55011096607431342</v>
      </c>
      <c r="G21" s="23">
        <f t="shared" si="4"/>
        <v>0.3840089025755879</v>
      </c>
      <c r="H21" s="23">
        <f t="shared" si="4"/>
        <v>0.53505024337086815</v>
      </c>
      <c r="I21" s="23">
        <f t="shared" si="4"/>
        <v>0.58829195198582129</v>
      </c>
      <c r="J21" s="23">
        <f t="shared" si="4"/>
        <v>0.88372813806600836</v>
      </c>
      <c r="K21" s="23">
        <f t="shared" si="4"/>
        <v>0.55155896880415944</v>
      </c>
      <c r="L21" s="23">
        <f t="shared" si="4"/>
        <v>0.46905749911775085</v>
      </c>
    </row>
    <row r="23" spans="1:13" x14ac:dyDescent="0.25">
      <c r="B23" s="24" t="s">
        <v>79</v>
      </c>
      <c r="C23">
        <v>19.75</v>
      </c>
      <c r="D23">
        <v>18.670000000000002</v>
      </c>
      <c r="E23">
        <v>15.35</v>
      </c>
      <c r="F23">
        <v>25.88</v>
      </c>
      <c r="G23">
        <v>16.68</v>
      </c>
      <c r="H23">
        <v>22.39</v>
      </c>
      <c r="I23">
        <v>22.2</v>
      </c>
      <c r="J23">
        <v>30.2</v>
      </c>
      <c r="K23">
        <v>17.38</v>
      </c>
      <c r="L23">
        <v>13.61</v>
      </c>
      <c r="M23">
        <v>12.535</v>
      </c>
    </row>
    <row r="24" spans="1:13" x14ac:dyDescent="0.25">
      <c r="B24" s="24"/>
      <c r="C24" s="93"/>
    </row>
    <row r="25" spans="1:13" x14ac:dyDescent="0.25">
      <c r="B25" s="33" t="s">
        <v>39</v>
      </c>
      <c r="C25" s="100">
        <f>(C23/F23)^(1/3)-1</f>
        <v>-8.6165375074171657E-2</v>
      </c>
      <c r="D25" s="100"/>
      <c r="E25" s="100"/>
      <c r="F25" s="100">
        <f>(F23/H23)^(1/2)-1</f>
        <v>7.5115415971545474E-2</v>
      </c>
      <c r="G25" s="100"/>
      <c r="H25" s="100">
        <f>(H23/M23)^(1/5)-1</f>
        <v>0.12301601863540457</v>
      </c>
      <c r="I25" s="100"/>
      <c r="J25" s="100"/>
      <c r="K25" s="100"/>
      <c r="L25" s="100"/>
      <c r="M25" s="12">
        <f>(C23/M23)^(1/10)-1</f>
        <v>4.6512153148081881E-2</v>
      </c>
    </row>
    <row r="27" spans="1:13" x14ac:dyDescent="0.25">
      <c r="B27" s="4" t="s">
        <v>18</v>
      </c>
      <c r="C27" s="25">
        <f>C23/C28</f>
        <v>6.1912225705329158</v>
      </c>
      <c r="D27" s="25">
        <f>D23/D28</f>
        <v>2.6940836940836945</v>
      </c>
      <c r="E27" s="25">
        <f>E23/E28</f>
        <v>1.4265799256505576</v>
      </c>
      <c r="F27" s="25">
        <f>F23/F28</f>
        <v>6.6529562982005137</v>
      </c>
      <c r="G27" s="25">
        <f>G23/G28</f>
        <v>7.5135135135135132</v>
      </c>
      <c r="H27" s="25">
        <f>H23/H28</f>
        <v>6.3248587570621471</v>
      </c>
      <c r="I27" s="25">
        <f>I23/I28</f>
        <v>6.0326086956521738</v>
      </c>
      <c r="J27" s="25">
        <f>J23/J28</f>
        <v>9.0419161676646702</v>
      </c>
      <c r="K27" s="25">
        <f>K23/K28</f>
        <v>10.999999999999998</v>
      </c>
      <c r="L27" s="25">
        <f>L23/L28</f>
        <v>10.469230769230768</v>
      </c>
    </row>
    <row r="28" spans="1:13" x14ac:dyDescent="0.25">
      <c r="B28" s="26" t="s">
        <v>27</v>
      </c>
      <c r="C28">
        <v>3.19</v>
      </c>
      <c r="D28">
        <v>6.93</v>
      </c>
      <c r="E28">
        <v>10.76</v>
      </c>
      <c r="F28">
        <v>3.89</v>
      </c>
      <c r="G28">
        <v>2.2200000000000002</v>
      </c>
      <c r="H28">
        <v>3.54</v>
      </c>
      <c r="I28">
        <v>3.68</v>
      </c>
      <c r="J28">
        <v>3.34</v>
      </c>
      <c r="K28">
        <v>1.58</v>
      </c>
      <c r="L28">
        <v>1.3</v>
      </c>
    </row>
    <row r="30" spans="1:13" x14ac:dyDescent="0.25">
      <c r="B30" s="4" t="s">
        <v>19</v>
      </c>
      <c r="C30" s="25">
        <f>C23/C31</f>
        <v>0.31939847590953785</v>
      </c>
      <c r="D30" s="25">
        <f>D23/D31</f>
        <v>0.30940147110685678</v>
      </c>
      <c r="E30" s="25">
        <f>E23/E31</f>
        <v>0.26909129183542951</v>
      </c>
      <c r="F30" s="25">
        <f>F23/F31</f>
        <v>0.55011096607431342</v>
      </c>
      <c r="G30" s="25">
        <f>G23/G31</f>
        <v>0.3840089025755879</v>
      </c>
      <c r="H30" s="25">
        <f>H23/H31</f>
        <v>0.53505024337086815</v>
      </c>
      <c r="I30" s="25">
        <f>I23/I31</f>
        <v>0.58829195198582129</v>
      </c>
      <c r="J30" s="25">
        <f>J23/J31</f>
        <v>0.88372813806600836</v>
      </c>
      <c r="K30" s="25">
        <f>K23/K31</f>
        <v>0.55155896880415944</v>
      </c>
      <c r="L30" s="25">
        <f>L23/L31</f>
        <v>0.46905749911775085</v>
      </c>
    </row>
    <row r="31" spans="1:13" ht="30" x14ac:dyDescent="0.25">
      <c r="B31" s="114" t="s">
        <v>30</v>
      </c>
      <c r="C31">
        <f>C33/C32</f>
        <v>61.83498510366632</v>
      </c>
      <c r="D31">
        <f>D33/D32</f>
        <v>60.34231166778136</v>
      </c>
      <c r="E31">
        <f>E33/E32</f>
        <v>57.043837781966317</v>
      </c>
      <c r="F31">
        <f t="shared" ref="F31:L31" si="5">F33/F32</f>
        <v>47.045053809205328</v>
      </c>
      <c r="G31">
        <f t="shared" si="5"/>
        <v>43.436492977442697</v>
      </c>
      <c r="H31">
        <f t="shared" si="5"/>
        <v>41.846537362436919</v>
      </c>
      <c r="I31">
        <f t="shared" si="5"/>
        <v>37.736365294582598</v>
      </c>
      <c r="J31">
        <f t="shared" si="5"/>
        <v>34.173405484282846</v>
      </c>
      <c r="K31">
        <f t="shared" si="5"/>
        <v>31.510683323093726</v>
      </c>
      <c r="L31">
        <f t="shared" si="5"/>
        <v>29.015632466379955</v>
      </c>
    </row>
    <row r="32" spans="1:13" x14ac:dyDescent="0.25">
      <c r="A32" s="3" t="s">
        <v>34</v>
      </c>
      <c r="B32" s="26" t="s">
        <v>28</v>
      </c>
      <c r="C32">
        <v>328.94</v>
      </c>
      <c r="D32">
        <v>328.94</v>
      </c>
      <c r="E32">
        <v>328.94</v>
      </c>
      <c r="F32">
        <v>328.94</v>
      </c>
      <c r="G32">
        <v>328.94</v>
      </c>
      <c r="H32">
        <v>328.94</v>
      </c>
      <c r="I32">
        <v>328.94</v>
      </c>
      <c r="J32">
        <v>328.94</v>
      </c>
      <c r="K32" s="3">
        <v>292.98</v>
      </c>
      <c r="L32" s="3">
        <v>292.98</v>
      </c>
    </row>
    <row r="33" spans="1:20" x14ac:dyDescent="0.25">
      <c r="A33" s="3" t="s">
        <v>34</v>
      </c>
      <c r="B33" s="2" t="s">
        <v>31</v>
      </c>
      <c r="C33" s="32">
        <v>20340</v>
      </c>
      <c r="D33" s="32">
        <v>19849</v>
      </c>
      <c r="E33" s="32">
        <v>18764</v>
      </c>
      <c r="F33" s="32">
        <v>15475</v>
      </c>
      <c r="G33" s="32">
        <v>14288</v>
      </c>
      <c r="H33" s="32">
        <v>13765</v>
      </c>
      <c r="I33" s="32">
        <v>12413</v>
      </c>
      <c r="J33" s="32">
        <v>11241</v>
      </c>
      <c r="K33" s="32">
        <v>9232</v>
      </c>
      <c r="L33" s="32">
        <v>8501</v>
      </c>
    </row>
    <row r="36" spans="1:20" x14ac:dyDescent="0.25">
      <c r="B36" s="80"/>
      <c r="C36" s="80">
        <v>2015</v>
      </c>
      <c r="D36" s="80">
        <v>2016</v>
      </c>
      <c r="E36" s="80">
        <v>2017</v>
      </c>
      <c r="F36" s="80">
        <v>2018</v>
      </c>
      <c r="G36" s="80">
        <v>2019</v>
      </c>
      <c r="H36" s="81" t="s">
        <v>64</v>
      </c>
      <c r="I36" s="81" t="s">
        <v>65</v>
      </c>
      <c r="K36" s="80">
        <v>2020</v>
      </c>
      <c r="L36" s="80">
        <v>2021</v>
      </c>
      <c r="M36" s="81" t="s">
        <v>64</v>
      </c>
      <c r="N36" s="81" t="s">
        <v>65</v>
      </c>
      <c r="P36" s="80">
        <v>2022</v>
      </c>
      <c r="Q36" s="80">
        <v>2023</v>
      </c>
      <c r="R36" s="80">
        <v>2024</v>
      </c>
      <c r="S36" s="81" t="s">
        <v>64</v>
      </c>
      <c r="T36" s="81" t="s">
        <v>65</v>
      </c>
    </row>
    <row r="37" spans="1:20" x14ac:dyDescent="0.25">
      <c r="B37" s="83" t="s">
        <v>0</v>
      </c>
      <c r="C37" s="71">
        <f>VLOOKUP($B37,$B:$L,11,0)</f>
        <v>5.117045053523115E-2</v>
      </c>
      <c r="D37" s="71">
        <f>VLOOKUP($B37,$B:$L,10,0)</f>
        <v>6.2175043327556329E-2</v>
      </c>
      <c r="E37" s="71">
        <f>VLOOKUP($B37,$B:$L,9,0)</f>
        <v>0.11084423094030781</v>
      </c>
      <c r="F37" s="71">
        <f>VLOOKUP($B37,$B:$L,8,0)</f>
        <v>0.11262386208007734</v>
      </c>
      <c r="G37" s="71">
        <f>VLOOKUP($B37,$B:$L,7,0)</f>
        <v>9.9164547766073377E-2</v>
      </c>
      <c r="H37" s="71">
        <f>AVERAGE(C37:G37)</f>
        <v>8.7195626929849196E-2</v>
      </c>
      <c r="I37" s="71">
        <f>_xlfn.STDEV.P(C37:G37)</f>
        <v>2.5584955026519984E-2</v>
      </c>
      <c r="K37" s="71">
        <f>VLOOKUP($B37,$B:$L,6,0)</f>
        <v>6.3689809630459129E-2</v>
      </c>
      <c r="L37" s="71">
        <f>VLOOKUP($B37,$B:$L,5,0)</f>
        <v>9.7447495961227787E-2</v>
      </c>
      <c r="M37" s="71">
        <f>AVERAGE(K37:L37)</f>
        <v>8.0568652795843465E-2</v>
      </c>
      <c r="N37" s="71">
        <f>_xlfn.STDEV.P(K37:L37)</f>
        <v>1.6878843165384291E-2</v>
      </c>
      <c r="P37" s="71">
        <f>VLOOKUP($B37,$B:$L,4,0)</f>
        <v>0.20235557450437008</v>
      </c>
      <c r="Q37" s="71">
        <f>VLOOKUP($B37,$B:$L,3,0)</f>
        <v>0.12988059851881706</v>
      </c>
      <c r="R37" s="71">
        <f>VLOOKUP($B37,$B:$L,2,0)</f>
        <v>6.6764995083579151E-2</v>
      </c>
      <c r="S37" s="71">
        <f>AVERAGE(P37:R37)</f>
        <v>0.13300038936892208</v>
      </c>
      <c r="T37" s="71">
        <f>_xlfn.STDEV.P(P37:R37)</f>
        <v>5.5398562725806968E-2</v>
      </c>
    </row>
    <row r="38" spans="1:20" x14ac:dyDescent="0.25">
      <c r="B38" s="84" t="s">
        <v>1</v>
      </c>
      <c r="C38" s="71">
        <f>VLOOKUP(B38,B:L,11,0)</f>
        <v>3.8015503334003337E-3</v>
      </c>
      <c r="D38" s="71">
        <f>VLOOKUP($B38,$B:$L,10,0)</f>
        <v>5.1312307802331399E-3</v>
      </c>
      <c r="E38" s="71">
        <f>VLOOKUP($B38,$B:$L,9,0)</f>
        <v>9.2196587394373485E-3</v>
      </c>
      <c r="F38" s="71">
        <f>VLOOKUP($B38,$B:$L,8,0)</f>
        <v>9.9775184669735582E-3</v>
      </c>
      <c r="G38" s="71">
        <f>VLOOKUP($B38,$B:$L,7,0)</f>
        <v>8.968462549277266E-3</v>
      </c>
      <c r="H38" s="71">
        <f>AVERAGE(C38:G38)</f>
        <v>7.4196841738643302E-3</v>
      </c>
      <c r="I38" s="71">
        <f>_xlfn.STDEV.P(C38:G38)</f>
        <v>2.4701842273885141E-3</v>
      </c>
      <c r="K38" s="71">
        <f>VLOOKUP($B38,$B:$L,6,0)</f>
        <v>5.4832820154375479E-3</v>
      </c>
      <c r="L38" s="71">
        <f>VLOOKUP($B38,$B:$L,5,0)</f>
        <v>7.8500372200040608E-3</v>
      </c>
      <c r="M38" s="71">
        <f>AVERAGE(K38:L38)</f>
        <v>6.6666596177208043E-3</v>
      </c>
      <c r="N38" s="71">
        <f>_xlfn.STDEV.P(K38:L38)</f>
        <v>1.1833776022832565E-3</v>
      </c>
      <c r="P38" s="71">
        <f>VLOOKUP($B38,$B:$L,4,0)</f>
        <v>1.833794558986173E-2</v>
      </c>
      <c r="Q38" s="71">
        <f>VLOOKUP($B38,$B:$L,3,0)</f>
        <v>1.3004373464621344E-2</v>
      </c>
      <c r="R38" s="71">
        <f>VLOOKUP($B38,$B:$L,2,0)</f>
        <v>6.7950623214294648E-3</v>
      </c>
      <c r="S38" s="71">
        <f>AVERAGE(P38:R38)</f>
        <v>1.2712460458637513E-2</v>
      </c>
      <c r="T38" s="71">
        <f>_xlfn.STDEV.P(P38:R38)</f>
        <v>4.716880921361786E-3</v>
      </c>
    </row>
    <row r="39" spans="1:20" x14ac:dyDescent="0.25">
      <c r="B39" s="80" t="s">
        <v>2</v>
      </c>
      <c r="C39" s="71">
        <f>VLOOKUP(B39,B:L,11,0)</f>
        <v>0.03</v>
      </c>
      <c r="D39" s="71">
        <f>VLOOKUP($B39,$B:$L,10,0)</f>
        <v>2.7799999999999998E-2</v>
      </c>
      <c r="E39" s="71">
        <f>VLOOKUP($B39,$B:$L,9,0)</f>
        <v>2.4799999999999999E-2</v>
      </c>
      <c r="F39" s="71">
        <f>VLOOKUP($B39,$B:$L,8,0)</f>
        <v>2.5000000000000001E-2</v>
      </c>
      <c r="G39" s="71">
        <f>VLOOKUP($B39,$B:$L,7,0)</f>
        <v>2.4400000000000002E-2</v>
      </c>
      <c r="H39" s="71">
        <f>AVERAGE(C39:G39)</f>
        <v>2.64E-2</v>
      </c>
      <c r="I39" s="71">
        <f>_xlfn.STDEV.P(C39:G39)</f>
        <v>2.1651789764358964E-3</v>
      </c>
      <c r="K39" s="71">
        <f>VLOOKUP($B39,$B:$L,6,0)</f>
        <v>2.1299999999999999E-2</v>
      </c>
      <c r="L39" s="71">
        <f>VLOOKUP($B39,$B:$L,5,0)</f>
        <v>2.01E-2</v>
      </c>
      <c r="M39" s="71">
        <f>AVERAGE(K39:L39)</f>
        <v>2.07E-2</v>
      </c>
      <c r="N39" s="71">
        <f>_xlfn.STDEV.P(K39:L39)</f>
        <v>5.9999999999999984E-4</v>
      </c>
      <c r="P39" s="71">
        <f>VLOOKUP($B39,$B:$L,4,0)</f>
        <v>2.5899999999999999E-2</v>
      </c>
      <c r="Q39" s="71">
        <f>VLOOKUP($B39,$B:$L,3,0)</f>
        <v>2.86E-2</v>
      </c>
      <c r="R39" s="71">
        <f>VLOOKUP($B39,$B:$L,2,0)</f>
        <v>2.98E-2</v>
      </c>
      <c r="S39" s="71">
        <f>AVERAGE(P39:R39)</f>
        <v>2.81E-2</v>
      </c>
      <c r="T39" s="71">
        <f>_xlfn.STDEV.P(P39:R39)</f>
        <v>1.6309506430300094E-3</v>
      </c>
    </row>
    <row r="42" spans="1:20" x14ac:dyDescent="0.25">
      <c r="B42" s="80"/>
      <c r="C42" s="80">
        <v>2015</v>
      </c>
      <c r="D42" s="80">
        <v>2016</v>
      </c>
      <c r="E42" s="80">
        <v>2017</v>
      </c>
      <c r="F42" s="80">
        <v>2018</v>
      </c>
      <c r="G42" s="80">
        <v>2019</v>
      </c>
      <c r="H42" s="81" t="s">
        <v>64</v>
      </c>
      <c r="I42" s="81" t="s">
        <v>65</v>
      </c>
      <c r="K42" s="80">
        <v>2020</v>
      </c>
      <c r="L42" s="80">
        <v>2021</v>
      </c>
      <c r="M42" s="81" t="s">
        <v>64</v>
      </c>
      <c r="N42" s="81" t="s">
        <v>65</v>
      </c>
      <c r="P42" s="80">
        <v>2022</v>
      </c>
      <c r="Q42" s="80">
        <v>2023</v>
      </c>
      <c r="R42" s="80">
        <v>2024</v>
      </c>
      <c r="S42" s="81" t="s">
        <v>64</v>
      </c>
      <c r="T42" s="81" t="s">
        <v>65</v>
      </c>
    </row>
    <row r="43" spans="1:20" x14ac:dyDescent="0.25">
      <c r="B43" s="80" t="s">
        <v>3</v>
      </c>
      <c r="C43" s="71">
        <f>VLOOKUP($B43,$B:$L,11,0)</f>
        <v>0.59099999999999997</v>
      </c>
      <c r="D43" s="71">
        <f>VLOOKUP($B43,$B:$L,10,0)</f>
        <v>0.60699999999999998</v>
      </c>
      <c r="E43" s="71">
        <f>VLOOKUP($B43,$B:$L,9,0)</f>
        <v>0.57099999999999995</v>
      </c>
      <c r="F43" s="71">
        <f>VLOOKUP($B43,$B:$L,8,0)</f>
        <v>0.55400000000000005</v>
      </c>
      <c r="G43" s="71">
        <f>VLOOKUP($B43,$B:$L,7,0)</f>
        <v>0.55100000000000005</v>
      </c>
      <c r="H43" s="71">
        <f>AVERAGE(C43:G43)</f>
        <v>0.57479999999999998</v>
      </c>
      <c r="I43" s="71">
        <f>_xlfn.STDEV.P(C43:G43)</f>
        <v>2.1507208094032077E-2</v>
      </c>
      <c r="K43" s="71">
        <f>VLOOKUP($B43,$B:$L,6,0)</f>
        <v>0.55400000000000005</v>
      </c>
      <c r="L43" s="71">
        <f>VLOOKUP($B43,$B:$L,5,0)</f>
        <v>0.53</v>
      </c>
      <c r="M43" s="71">
        <f>AVERAGE(K43:L43)</f>
        <v>0.54200000000000004</v>
      </c>
      <c r="N43" s="71">
        <f>_xlfn.STDEV.P(K43:L43)</f>
        <v>1.2000000000000011E-2</v>
      </c>
      <c r="P43" s="71">
        <f>VLOOKUP($B43,$B:$L,4,0)</f>
        <v>0.36199999999999999</v>
      </c>
      <c r="Q43" s="71">
        <f>VLOOKUP($B43,$B:$L,3,0)</f>
        <v>0.43</v>
      </c>
      <c r="R43" s="71">
        <f>VLOOKUP($B43,$B:$L,2,0)</f>
        <v>0.43</v>
      </c>
      <c r="S43" s="71">
        <f>AVERAGE(P43:R43)</f>
        <v>0.40733333333333333</v>
      </c>
      <c r="T43" s="71">
        <f>_xlfn.STDEV.P(P43:R43)</f>
        <v>3.2055507413790159E-2</v>
      </c>
    </row>
    <row r="44" spans="1:20" x14ac:dyDescent="0.25">
      <c r="B44" s="80" t="s">
        <v>4</v>
      </c>
      <c r="C44" s="71">
        <f>VLOOKUP(B44,B:L,11,0)</f>
        <v>0.11899999999999999</v>
      </c>
      <c r="D44" s="71">
        <f>VLOOKUP($B44,$B:$L,10,0)</f>
        <v>9.1999999999999998E-2</v>
      </c>
      <c r="E44" s="71">
        <f>VLOOKUP($B44,$B:$L,9,0)</f>
        <v>0.04</v>
      </c>
      <c r="F44" s="71">
        <f>VLOOKUP($B44,$B:$L,8,0)</f>
        <v>2.5999999999999999E-2</v>
      </c>
      <c r="G44" s="71">
        <f>VLOOKUP($B44,$B:$L,7,0)</f>
        <v>2.1000000000000001E-2</v>
      </c>
      <c r="H44" s="71">
        <f>AVERAGE(C44:G44)</f>
        <v>5.9600000000000007E-2</v>
      </c>
      <c r="I44" s="71">
        <f>_xlfn.STDEV.P(C44:G44)</f>
        <v>3.893892653887622E-2</v>
      </c>
      <c r="K44" s="71">
        <f>VLOOKUP($B44,$B:$L,6,0)</f>
        <v>1.9E-2</v>
      </c>
      <c r="L44" s="71">
        <f>VLOOKUP($B44,$B:$L,5,0)</f>
        <v>1.6E-2</v>
      </c>
      <c r="M44" s="71">
        <f>AVERAGE(K44:L44)</f>
        <v>1.7500000000000002E-2</v>
      </c>
      <c r="N44" s="71">
        <f>_xlfn.STDEV.P(K44:L44)</f>
        <v>1.4999999999999996E-3</v>
      </c>
      <c r="P44" s="71">
        <f>VLOOKUP($B44,$B:$L,4,0)</f>
        <v>1.6E-2</v>
      </c>
      <c r="Q44" s="71">
        <f>VLOOKUP($B44,$B:$L,3,0)</f>
        <v>1.9E-2</v>
      </c>
      <c r="R44" s="71">
        <f>VLOOKUP($B44,$B:$L,2,0)</f>
        <v>2.1000000000000001E-2</v>
      </c>
      <c r="S44" s="71">
        <f>AVERAGE(P44:R44)</f>
        <v>1.8666666666666668E-2</v>
      </c>
      <c r="T44" s="71">
        <f>_xlfn.STDEV.P(P44:R44)</f>
        <v>2.054804667656326E-3</v>
      </c>
    </row>
    <row r="47" spans="1:20" x14ac:dyDescent="0.25">
      <c r="B47" s="80"/>
      <c r="C47" s="80">
        <v>2015</v>
      </c>
      <c r="D47" s="80">
        <v>2016</v>
      </c>
      <c r="E47" s="80">
        <v>2017</v>
      </c>
      <c r="F47" s="80">
        <v>2018</v>
      </c>
      <c r="G47" s="80">
        <v>2019</v>
      </c>
      <c r="H47" s="81" t="s">
        <v>64</v>
      </c>
      <c r="I47" s="81" t="s">
        <v>65</v>
      </c>
      <c r="K47" s="80">
        <v>2020</v>
      </c>
      <c r="L47" s="80">
        <v>2021</v>
      </c>
      <c r="M47" s="81" t="s">
        <v>64</v>
      </c>
      <c r="N47" s="81" t="s">
        <v>65</v>
      </c>
      <c r="P47" s="80">
        <v>2022</v>
      </c>
      <c r="Q47" s="80">
        <v>2023</v>
      </c>
      <c r="R47" s="80">
        <v>2024</v>
      </c>
      <c r="S47" s="81" t="s">
        <v>64</v>
      </c>
      <c r="T47" s="81" t="s">
        <v>65</v>
      </c>
    </row>
    <row r="48" spans="1:20" x14ac:dyDescent="0.25">
      <c r="B48" s="80" t="s">
        <v>5</v>
      </c>
      <c r="C48" s="71">
        <f>VLOOKUP($B48,$B:$L,11,0)</f>
        <v>0.16800000000000001</v>
      </c>
      <c r="D48" s="71">
        <f>VLOOKUP($B48,$B:$L,10,0)</f>
        <v>0.189</v>
      </c>
      <c r="E48" s="71">
        <f>VLOOKUP($B48,$B:$L,9,0)</f>
        <v>0.17799999999999999</v>
      </c>
      <c r="F48" s="71">
        <f>VLOOKUP($B48,$B:$L,8,0)</f>
        <v>0.183</v>
      </c>
      <c r="G48" s="71">
        <f>VLOOKUP($B48,$B:$L,7,0)</f>
        <v>0.18</v>
      </c>
      <c r="H48" s="71">
        <f>AVERAGE(C48:G48)</f>
        <v>0.17959999999999998</v>
      </c>
      <c r="I48" s="71">
        <f>_xlfn.STDEV.P(C48:G48)</f>
        <v>6.8876701430890227E-3</v>
      </c>
      <c r="K48" s="71">
        <f>VLOOKUP($B48,$B:$L,6,0)</f>
        <v>0.185</v>
      </c>
      <c r="L48" s="71">
        <f>VLOOKUP($B48,$B:$L,5,0)</f>
        <v>0.17599999999999999</v>
      </c>
      <c r="M48" s="71">
        <f>AVERAGE(K48:L48)</f>
        <v>0.18049999999999999</v>
      </c>
      <c r="N48" s="71">
        <f>_xlfn.STDEV.P(K48:L48)</f>
        <v>4.500000000000004E-3</v>
      </c>
      <c r="P48" s="71">
        <f>VLOOKUP($B48,$B:$L,4,0)</f>
        <v>0.20200000000000001</v>
      </c>
      <c r="Q48" s="71">
        <f>VLOOKUP($B48,$B:$L,3,0)</f>
        <v>0.215</v>
      </c>
      <c r="R48" s="71">
        <f>VLOOKUP($B48,$B:$L,2,0)</f>
        <v>0.215</v>
      </c>
      <c r="S48" s="71">
        <f>AVERAGE(P48:R48)</f>
        <v>0.21066666666666667</v>
      </c>
      <c r="T48" s="71">
        <f>_xlfn.STDEV.P(P48:R48)</f>
        <v>6.128258770283404E-3</v>
      </c>
    </row>
    <row r="49" spans="2:20" x14ac:dyDescent="0.25">
      <c r="B49" s="80" t="s">
        <v>20</v>
      </c>
      <c r="C49" s="71" t="s">
        <v>54</v>
      </c>
      <c r="D49" s="71">
        <f>VLOOKUP($B49,$B:$L,10,0)</f>
        <v>1.84</v>
      </c>
      <c r="E49" s="71">
        <f>VLOOKUP($B49,$B:$L,9,0)</f>
        <v>1.39</v>
      </c>
      <c r="F49" s="71">
        <f>VLOOKUP($B49,$B:$L,8,0)</f>
        <v>1.34</v>
      </c>
      <c r="G49" s="71">
        <f>VLOOKUP($B49,$B:$L,7,0)</f>
        <v>1.4</v>
      </c>
      <c r="H49" s="71">
        <f>AVERAGE(D49:G49)</f>
        <v>1.4925000000000002</v>
      </c>
      <c r="I49" s="71">
        <f>_xlfn.STDEV.P(D49:G49)</f>
        <v>0.2019127286725613</v>
      </c>
      <c r="K49" s="71">
        <f>VLOOKUP($B49,$B:$L,6,0)</f>
        <v>1.64</v>
      </c>
      <c r="L49" s="71">
        <f>VLOOKUP($B49,$B:$L,5,0)</f>
        <v>1.53</v>
      </c>
      <c r="M49" s="71">
        <f>AVERAGE(K49:L49)</f>
        <v>1.585</v>
      </c>
      <c r="N49" s="71">
        <f>_xlfn.STDEV.P(K49:L49)</f>
        <v>5.4999999999999938E-2</v>
      </c>
      <c r="P49" s="71">
        <f>VLOOKUP($B49,$B:$L,4,0)</f>
        <v>2.02</v>
      </c>
      <c r="Q49" s="71">
        <f>VLOOKUP($B49,$B:$L,3,0)</f>
        <v>1.89</v>
      </c>
      <c r="R49" s="71">
        <f>VLOOKUP($B49,$B:$L,2,0)</f>
        <v>1.82</v>
      </c>
      <c r="S49" s="71">
        <f>AVERAGE(P49:R49)</f>
        <v>1.9100000000000001</v>
      </c>
      <c r="T49" s="71">
        <f>_xlfn.STDEV.P(P49:R49)</f>
        <v>8.2865352631040348E-2</v>
      </c>
    </row>
    <row r="50" spans="2:20" x14ac:dyDescent="0.25">
      <c r="B50" s="80" t="s">
        <v>17</v>
      </c>
      <c r="C50" s="71">
        <f>VLOOKUP(B50,B:L,11,0)</f>
        <v>0.94608716026241801</v>
      </c>
      <c r="D50" s="71">
        <f>VLOOKUP($B50,$B:$L,10,0)</f>
        <v>0.95329207862104937</v>
      </c>
      <c r="E50" s="71">
        <f>VLOOKUP($B50,$B:$L,9,0)</f>
        <v>0.82426037707727851</v>
      </c>
      <c r="F50" s="71">
        <f>VLOOKUP($B50,$B:$L,8,0)</f>
        <v>0.81846187104793822</v>
      </c>
      <c r="G50" s="71">
        <f>VLOOKUP($B50,$B:$L,7,0)</f>
        <v>0.839911200874638</v>
      </c>
      <c r="H50" s="71">
        <f>AVERAGE(C50:G50)</f>
        <v>0.87640253757666442</v>
      </c>
      <c r="I50" s="71">
        <f>_xlfn.STDEV.P(C50:G50)</f>
        <v>6.0291776478238607E-2</v>
      </c>
      <c r="K50" s="71">
        <f>VLOOKUP($B50,$B:$L,6,0)</f>
        <v>0.78199081023827843</v>
      </c>
      <c r="L50" s="71">
        <f>VLOOKUP($B50,$B:$L,5,0)</f>
        <v>0.78433493589743586</v>
      </c>
      <c r="M50" s="71">
        <f>AVERAGE(K50:L50)</f>
        <v>0.78316287306785715</v>
      </c>
      <c r="N50" s="71">
        <f>_xlfn.STDEV.P(K50:L50)</f>
        <v>1.1720628295787128E-3</v>
      </c>
      <c r="P50" s="71">
        <f>VLOOKUP($B50,$B:$L,4,0)</f>
        <v>0.7493133425727605</v>
      </c>
      <c r="Q50" s="71">
        <f>VLOOKUP($B50,$B:$L,3,0)</f>
        <v>0.78453851282157017</v>
      </c>
      <c r="R50" s="71">
        <f>VLOOKUP($B50,$B:$L,2,0)</f>
        <v>0.83568769007759425</v>
      </c>
      <c r="S50" s="71">
        <f>AVERAGE(P50:R50)</f>
        <v>0.7898465151573083</v>
      </c>
      <c r="T50" s="71">
        <f>_xlfn.STDEV.P(P50:R50)</f>
        <v>3.5461369999090525E-2</v>
      </c>
    </row>
    <row r="53" spans="2:20" x14ac:dyDescent="0.25">
      <c r="B53" s="80"/>
      <c r="C53" s="80">
        <v>2015</v>
      </c>
      <c r="D53" s="80">
        <v>2016</v>
      </c>
      <c r="E53" s="80">
        <v>2017</v>
      </c>
      <c r="F53" s="80">
        <v>2018</v>
      </c>
      <c r="G53" s="80">
        <v>2019</v>
      </c>
      <c r="H53" s="81" t="s">
        <v>64</v>
      </c>
      <c r="I53" s="81" t="s">
        <v>65</v>
      </c>
      <c r="K53" s="80">
        <v>2020</v>
      </c>
      <c r="L53" s="80">
        <v>2021</v>
      </c>
      <c r="M53" s="81" t="s">
        <v>64</v>
      </c>
      <c r="N53" s="81" t="s">
        <v>65</v>
      </c>
      <c r="P53" s="80">
        <v>2022</v>
      </c>
      <c r="Q53" s="80">
        <v>2023</v>
      </c>
      <c r="R53" s="80">
        <v>2024</v>
      </c>
      <c r="S53" s="81" t="s">
        <v>64</v>
      </c>
      <c r="T53" s="81" t="s">
        <v>65</v>
      </c>
    </row>
    <row r="54" spans="2:20" x14ac:dyDescent="0.25">
      <c r="B54" s="24" t="s">
        <v>79</v>
      </c>
      <c r="C54" s="73">
        <f>VLOOKUP($B54,$B:$L,11,0)</f>
        <v>13.61</v>
      </c>
      <c r="D54" s="73">
        <f>VLOOKUP($B54,$B:$L,10,0)</f>
        <v>17.38</v>
      </c>
      <c r="E54" s="73">
        <f>VLOOKUP($B54,$B:$L,9,0)</f>
        <v>30.2</v>
      </c>
      <c r="F54" s="73">
        <f>VLOOKUP($B54,$B:$L,8,0)</f>
        <v>22.2</v>
      </c>
      <c r="G54" s="73">
        <f>VLOOKUP($B54,$B:$L,7,0)</f>
        <v>22.39</v>
      </c>
      <c r="H54" s="73">
        <f>AVERAGE(C54:G54)</f>
        <v>21.155999999999999</v>
      </c>
      <c r="I54" s="73">
        <f>_xlfn.STDEV.P(C54:G54)</f>
        <v>5.5786543180232959</v>
      </c>
      <c r="K54" s="73">
        <f>VLOOKUP($B54,$B:$L,6,0)</f>
        <v>16.68</v>
      </c>
      <c r="L54" s="73">
        <f>VLOOKUP($B54,$B:$L,5,0)</f>
        <v>25.88</v>
      </c>
      <c r="M54" s="73">
        <f>AVERAGE(K54:L54)</f>
        <v>21.28</v>
      </c>
      <c r="N54" s="73">
        <f>_xlfn.STDEV.P(K54:L54)</f>
        <v>4.5999999999999908</v>
      </c>
      <c r="P54" s="73">
        <f>VLOOKUP($B54,$B:$L,4,0)</f>
        <v>15.35</v>
      </c>
      <c r="Q54" s="73">
        <f>VLOOKUP($B54,$B:$L,3,0)</f>
        <v>18.670000000000002</v>
      </c>
      <c r="R54" s="73">
        <f>VLOOKUP($B54,$B:$L,2,0)</f>
        <v>19.75</v>
      </c>
      <c r="S54" s="73">
        <f>AVERAGE(P54:R54)</f>
        <v>17.923333333333336</v>
      </c>
      <c r="T54" s="73">
        <f>_xlfn.STDEV.P(P54:R54)</f>
        <v>1.8722772824082907</v>
      </c>
    </row>
    <row r="55" spans="2:20" x14ac:dyDescent="0.25">
      <c r="B55" s="80" t="s">
        <v>18</v>
      </c>
      <c r="C55" s="73">
        <f>VLOOKUP($B55,$B:$L,11,0)</f>
        <v>10.469230769230768</v>
      </c>
      <c r="D55" s="73">
        <f>VLOOKUP($B55,$B:$L,10,0)</f>
        <v>10.999999999999998</v>
      </c>
      <c r="E55" s="73">
        <f>VLOOKUP($B55,$B:$L,9,0)</f>
        <v>9.0419161676646702</v>
      </c>
      <c r="F55" s="73">
        <f>VLOOKUP($B55,$B:$L,8,0)</f>
        <v>6.0326086956521738</v>
      </c>
      <c r="G55" s="73">
        <f>VLOOKUP($B55,$B:$L,7,0)</f>
        <v>6.3248587570621471</v>
      </c>
      <c r="H55" s="73">
        <f>AVERAGE(C55:G55)</f>
        <v>8.5737228779219503</v>
      </c>
      <c r="I55" s="73">
        <f>_xlfn.STDEV.P(C55:G55)</f>
        <v>2.0597877034838641</v>
      </c>
      <c r="J55" s="82"/>
      <c r="K55" s="73">
        <f>VLOOKUP($B55,$B:$L,6,0)</f>
        <v>7.5135135135135132</v>
      </c>
      <c r="L55" s="73">
        <f>VLOOKUP($B55,$B:$L,5,0)</f>
        <v>6.6529562982005137</v>
      </c>
      <c r="M55" s="73">
        <f>AVERAGE(K55:L55)</f>
        <v>7.0832349058570134</v>
      </c>
      <c r="N55" s="73">
        <f>_xlfn.STDEV.P(K55:L55)</f>
        <v>0.43027860765649972</v>
      </c>
      <c r="O55" s="82"/>
      <c r="P55" s="73">
        <f>VLOOKUP($B55,$B:$L,4,0)</f>
        <v>1.4265799256505576</v>
      </c>
      <c r="Q55" s="73">
        <f>VLOOKUP($B55,$B:$L,3,0)</f>
        <v>2.6940836940836945</v>
      </c>
      <c r="R55" s="73">
        <f>VLOOKUP($B55,$B:$L,2,0)</f>
        <v>6.1912225705329158</v>
      </c>
      <c r="S55" s="73">
        <f>AVERAGE(P55:R55)</f>
        <v>3.4372953967557223</v>
      </c>
      <c r="T55" s="73">
        <f>_xlfn.STDEV.P(P55:R55)</f>
        <v>2.0148991057617724</v>
      </c>
    </row>
    <row r="56" spans="2:20" x14ac:dyDescent="0.25">
      <c r="B56" s="80" t="s">
        <v>19</v>
      </c>
      <c r="C56" s="73">
        <f>VLOOKUP(B56,B:L,11,0)</f>
        <v>0.46905749911775085</v>
      </c>
      <c r="D56" s="73">
        <f>VLOOKUP($B56,$B:$L,10,0)</f>
        <v>0.55155896880415944</v>
      </c>
      <c r="E56" s="73">
        <f>VLOOKUP($B56,$B:$L,9,0)</f>
        <v>0.88372813806600836</v>
      </c>
      <c r="F56" s="73">
        <f>VLOOKUP($B56,$B:$L,8,0)</f>
        <v>0.58829195198582129</v>
      </c>
      <c r="G56" s="73">
        <f>VLOOKUP($B56,$B:$L,7,0)</f>
        <v>0.53505024337086815</v>
      </c>
      <c r="H56" s="73">
        <f>AVERAGE(C56:G56)</f>
        <v>0.60553736026892158</v>
      </c>
      <c r="I56" s="73">
        <f>_xlfn.STDEV.P(C56:G56)</f>
        <v>0.14435814202999789</v>
      </c>
      <c r="J56" s="82"/>
      <c r="K56" s="73">
        <f>VLOOKUP($B56,$B:$L,6,0)</f>
        <v>0.3840089025755879</v>
      </c>
      <c r="L56" s="73">
        <f>VLOOKUP($B56,$B:$L,5,0)</f>
        <v>0.55011096607431342</v>
      </c>
      <c r="M56" s="73">
        <f>AVERAGE(K56:L56)</f>
        <v>0.46705993432495063</v>
      </c>
      <c r="N56" s="73">
        <f>_xlfn.STDEV.P(K56:L56)</f>
        <v>8.3051031749362916E-2</v>
      </c>
      <c r="O56" s="82"/>
      <c r="P56" s="73">
        <f>VLOOKUP($B56,$B:$L,4,0)</f>
        <v>0.26909129183542951</v>
      </c>
      <c r="Q56" s="73">
        <f>VLOOKUP($B56,$B:$L,3,0)</f>
        <v>0.30940147110685678</v>
      </c>
      <c r="R56" s="73">
        <f>VLOOKUP($B56,$B:$L,2,0)</f>
        <v>0.31939847590953785</v>
      </c>
      <c r="S56" s="73">
        <f>AVERAGE(P56:R56)</f>
        <v>0.2992970796172747</v>
      </c>
      <c r="T56" s="73">
        <f>_xlfn.STDEV.P(P56:R56)</f>
        <v>2.1745148698772771E-2</v>
      </c>
    </row>
  </sheetData>
  <mergeCells count="3">
    <mergeCell ref="C25:E25"/>
    <mergeCell ref="F25:G25"/>
    <mergeCell ref="H25:L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52BBE-7026-4BF5-9F23-C97E6057B21E}">
  <dimension ref="A1:T46"/>
  <sheetViews>
    <sheetView workbookViewId="0">
      <selection activeCell="C3" sqref="C3"/>
    </sheetView>
  </sheetViews>
  <sheetFormatPr defaultRowHeight="15" x14ac:dyDescent="0.25"/>
  <cols>
    <col min="1" max="1" width="31.42578125" style="3" bestFit="1" customWidth="1"/>
    <col min="2" max="2" width="18.42578125" bestFit="1" customWidth="1"/>
    <col min="3" max="4" width="13.28515625" customWidth="1"/>
    <col min="5" max="5" width="14" customWidth="1"/>
    <col min="6" max="6" width="13.28515625" bestFit="1" customWidth="1"/>
    <col min="7" max="7" width="13.28515625" customWidth="1"/>
    <col min="8" max="12" width="13.28515625" bestFit="1" customWidth="1"/>
  </cols>
  <sheetData>
    <row r="1" spans="1:12" x14ac:dyDescent="0.25">
      <c r="C1" s="16">
        <v>2024</v>
      </c>
      <c r="D1" s="17">
        <v>2023</v>
      </c>
      <c r="E1" s="17">
        <v>2022</v>
      </c>
      <c r="F1" s="17">
        <v>2021</v>
      </c>
      <c r="G1" s="17">
        <v>2020</v>
      </c>
      <c r="H1" s="17">
        <v>2019</v>
      </c>
      <c r="I1" s="17">
        <v>2018</v>
      </c>
      <c r="J1" s="17">
        <v>2017</v>
      </c>
      <c r="K1" s="17">
        <v>2016</v>
      </c>
      <c r="L1" s="18">
        <v>2015</v>
      </c>
    </row>
    <row r="2" spans="1:12" s="3" customFormat="1" x14ac:dyDescent="0.25">
      <c r="A2" s="11" t="s">
        <v>8</v>
      </c>
      <c r="B2" s="4" t="s">
        <v>0</v>
      </c>
      <c r="C2" s="12">
        <f>C3/C4</f>
        <v>0.12822179608021581</v>
      </c>
      <c r="D2" s="12">
        <f t="shared" ref="D2:L2" si="0">D3/D4</f>
        <v>0.13756929338292051</v>
      </c>
      <c r="E2" s="31">
        <f t="shared" si="0"/>
        <v>0.10535467298952776</v>
      </c>
      <c r="F2" s="31">
        <f t="shared" si="0"/>
        <v>0.10241568494024582</v>
      </c>
      <c r="G2" s="31">
        <f t="shared" si="0"/>
        <v>4.5760821062025885E-2</v>
      </c>
      <c r="H2" s="31">
        <f t="shared" si="0"/>
        <v>9.3329100942520879E-2</v>
      </c>
      <c r="I2" s="31">
        <f t="shared" si="0"/>
        <v>0.11460771636016746</v>
      </c>
      <c r="J2" s="31">
        <f t="shared" si="0"/>
        <v>9.1193514873140855E-2</v>
      </c>
      <c r="K2" s="31">
        <f t="shared" si="0"/>
        <v>9.2564570533670648E-2</v>
      </c>
      <c r="L2" s="31">
        <f t="shared" si="0"/>
        <v>8.6117241845073272E-2</v>
      </c>
    </row>
    <row r="3" spans="1:12" s="3" customFormat="1" x14ac:dyDescent="0.25">
      <c r="A3" s="11"/>
      <c r="B3" s="30" t="s">
        <v>33</v>
      </c>
      <c r="C3" s="7">
        <v>3945</v>
      </c>
      <c r="D3" s="7">
        <v>3921</v>
      </c>
      <c r="E3" s="7">
        <v>2666</v>
      </c>
      <c r="F3" s="7">
        <v>2408.1</v>
      </c>
      <c r="G3" s="7">
        <v>1025.5</v>
      </c>
      <c r="H3" s="7">
        <v>1911.1</v>
      </c>
      <c r="I3" s="7">
        <v>2162.5329999999999</v>
      </c>
      <c r="J3" s="7">
        <v>1667.7470000000001</v>
      </c>
      <c r="K3" s="7">
        <v>1536.7570000000001</v>
      </c>
      <c r="L3" s="7">
        <v>1275.1379999999999</v>
      </c>
    </row>
    <row r="4" spans="1:12" s="3" customFormat="1" x14ac:dyDescent="0.25">
      <c r="A4" s="11"/>
      <c r="B4" s="30" t="s">
        <v>31</v>
      </c>
      <c r="C4" s="7">
        <v>30767</v>
      </c>
      <c r="D4" s="7">
        <v>28502</v>
      </c>
      <c r="E4" s="7">
        <v>25305</v>
      </c>
      <c r="F4" s="7">
        <v>23513</v>
      </c>
      <c r="G4" s="7">
        <v>22410</v>
      </c>
      <c r="H4" s="7">
        <v>20477</v>
      </c>
      <c r="I4" s="7">
        <v>18869</v>
      </c>
      <c r="J4" s="7">
        <v>18288</v>
      </c>
      <c r="K4" s="7">
        <v>16602</v>
      </c>
      <c r="L4" s="7">
        <v>14807</v>
      </c>
    </row>
    <row r="5" spans="1:12" s="5" customFormat="1" x14ac:dyDescent="0.25">
      <c r="A5" s="11" t="s">
        <v>9</v>
      </c>
      <c r="B5" s="6" t="s">
        <v>1</v>
      </c>
      <c r="C5" s="12">
        <f t="shared" ref="C5:L5" si="1">C6/C7</f>
        <v>1.1152384829364271E-2</v>
      </c>
      <c r="D5" s="12">
        <f t="shared" si="1"/>
        <v>1.1629665880678026E-2</v>
      </c>
      <c r="E5" s="12">
        <f t="shared" si="1"/>
        <v>8.2318249888070644E-3</v>
      </c>
      <c r="F5" s="12">
        <f t="shared" si="1"/>
        <v>7.8330535930364181E-3</v>
      </c>
      <c r="G5" s="12">
        <f t="shared" si="1"/>
        <v>3.6969076476059326E-3</v>
      </c>
      <c r="H5" s="12">
        <f t="shared" si="1"/>
        <v>7.7784063852042989E-3</v>
      </c>
      <c r="I5" s="12">
        <f t="shared" si="1"/>
        <v>9.1326269468563117E-3</v>
      </c>
      <c r="J5" s="12">
        <f t="shared" si="1"/>
        <v>7.5580284511395411E-3</v>
      </c>
      <c r="K5" s="12">
        <f t="shared" si="1"/>
        <v>7.3802004543118815E-3</v>
      </c>
      <c r="L5" s="12">
        <f t="shared" si="1"/>
        <v>6.3838933028942182E-3</v>
      </c>
    </row>
    <row r="6" spans="1:12" s="5" customFormat="1" x14ac:dyDescent="0.25">
      <c r="A6" s="11"/>
      <c r="B6" s="30" t="s">
        <v>33</v>
      </c>
      <c r="C6" s="7">
        <v>3945</v>
      </c>
      <c r="D6" s="7">
        <v>3921</v>
      </c>
      <c r="E6" s="7">
        <v>2666</v>
      </c>
      <c r="F6" s="7">
        <v>2408.1</v>
      </c>
      <c r="G6" s="7">
        <v>1025.5</v>
      </c>
      <c r="H6" s="7">
        <v>1911.1</v>
      </c>
      <c r="I6" s="7">
        <v>2162.5329999999999</v>
      </c>
      <c r="J6" s="7">
        <v>1667.7470000000001</v>
      </c>
      <c r="K6" s="7">
        <v>1536.7570000000001</v>
      </c>
      <c r="L6" s="7">
        <v>1275.1379999999999</v>
      </c>
    </row>
    <row r="7" spans="1:12" s="5" customFormat="1" x14ac:dyDescent="0.25">
      <c r="A7" s="11"/>
      <c r="B7" s="30" t="s">
        <v>32</v>
      </c>
      <c r="C7" s="7">
        <v>353736</v>
      </c>
      <c r="D7" s="7">
        <v>337155</v>
      </c>
      <c r="E7" s="7">
        <v>323865</v>
      </c>
      <c r="F7" s="7">
        <v>307428</v>
      </c>
      <c r="G7" s="7">
        <v>277394</v>
      </c>
      <c r="H7" s="7">
        <v>245693</v>
      </c>
      <c r="I7" s="7">
        <v>236792</v>
      </c>
      <c r="J7" s="7">
        <v>220659</v>
      </c>
      <c r="K7" s="7">
        <v>208227</v>
      </c>
      <c r="L7" s="7">
        <v>199743</v>
      </c>
    </row>
    <row r="8" spans="1:12" s="5" customFormat="1" x14ac:dyDescent="0.25">
      <c r="A8" s="11" t="s">
        <v>10</v>
      </c>
      <c r="B8" s="13" t="s">
        <v>2</v>
      </c>
      <c r="C8" s="12">
        <v>2.46E-2</v>
      </c>
      <c r="D8" s="12">
        <v>2.5000000000000001E-2</v>
      </c>
      <c r="E8" s="12">
        <v>2.2100000000000002E-2</v>
      </c>
      <c r="F8" s="12">
        <v>2.0500000000000001E-2</v>
      </c>
      <c r="G8" s="12">
        <v>2.0799999999999999E-2</v>
      </c>
      <c r="H8" s="12">
        <v>2.18E-2</v>
      </c>
      <c r="I8" s="12">
        <v>2.3E-2</v>
      </c>
      <c r="J8" s="12">
        <v>2.4E-2</v>
      </c>
      <c r="K8" s="12">
        <v>2.5100000000000001E-2</v>
      </c>
      <c r="L8" s="12">
        <v>2.5899999999999999E-2</v>
      </c>
    </row>
    <row r="9" spans="1:12" s="5" customFormat="1" x14ac:dyDescent="0.25">
      <c r="A9" s="11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s="5" customFormat="1" x14ac:dyDescent="0.25">
      <c r="A10" s="11" t="s">
        <v>11</v>
      </c>
      <c r="B10" s="4" t="s">
        <v>3</v>
      </c>
      <c r="C10" s="12">
        <v>0.47199999999999998</v>
      </c>
      <c r="D10" s="12">
        <v>0.47599999999999998</v>
      </c>
      <c r="E10" s="12">
        <v>0.53400000000000003</v>
      </c>
      <c r="F10" s="12">
        <v>0.55600000000000005</v>
      </c>
      <c r="G10" s="12">
        <v>0.59</v>
      </c>
      <c r="H10" s="12">
        <v>0.59</v>
      </c>
      <c r="I10" s="12">
        <v>0.60499999999999998</v>
      </c>
      <c r="J10" s="12">
        <v>0.624</v>
      </c>
      <c r="K10" s="12">
        <v>0.60199999999999998</v>
      </c>
      <c r="L10" s="12">
        <v>0.57099999999999995</v>
      </c>
    </row>
    <row r="11" spans="1:12" s="3" customFormat="1" x14ac:dyDescent="0.25">
      <c r="A11" s="3" t="s">
        <v>25</v>
      </c>
      <c r="B11" s="8" t="s">
        <v>20</v>
      </c>
      <c r="C11" s="9">
        <v>1.516</v>
      </c>
      <c r="D11" s="9">
        <v>1.534</v>
      </c>
      <c r="E11" s="9">
        <v>1.38</v>
      </c>
      <c r="F11" s="9">
        <v>1.7729999999999999</v>
      </c>
      <c r="G11" s="9">
        <v>1.893</v>
      </c>
      <c r="H11" s="9">
        <v>1.48</v>
      </c>
      <c r="I11" s="9">
        <v>1.5009999999999999</v>
      </c>
      <c r="J11" s="9">
        <v>1.452</v>
      </c>
      <c r="K11" s="21"/>
      <c r="L11" s="21"/>
    </row>
    <row r="12" spans="1:12" s="5" customFormat="1" x14ac:dyDescent="0.25">
      <c r="A12" s="11" t="s">
        <v>12</v>
      </c>
      <c r="B12" s="13" t="s">
        <v>4</v>
      </c>
      <c r="C12" s="12">
        <v>2.5999999999999999E-2</v>
      </c>
      <c r="D12" s="12">
        <v>2.3E-2</v>
      </c>
      <c r="E12" s="12">
        <v>0.02</v>
      </c>
      <c r="F12" s="12">
        <v>2.4E-2</v>
      </c>
      <c r="G12" s="12">
        <v>2.7E-2</v>
      </c>
      <c r="H12" s="12">
        <v>2.5000000000000001E-2</v>
      </c>
      <c r="I12" s="12">
        <v>3.2000000000000001E-2</v>
      </c>
      <c r="J12" s="12">
        <v>0.04</v>
      </c>
      <c r="K12" s="12">
        <v>4.9000000000000002E-2</v>
      </c>
      <c r="L12" s="12">
        <v>7.0999999999999994E-2</v>
      </c>
    </row>
    <row r="13" spans="1:12" s="5" customFormat="1" x14ac:dyDescent="0.25">
      <c r="A13" s="11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s="5" customFormat="1" x14ac:dyDescent="0.25">
      <c r="A14" s="11"/>
      <c r="C14" s="29"/>
      <c r="D14" s="29"/>
      <c r="E14" s="29"/>
      <c r="F14" s="29"/>
      <c r="G14" s="29"/>
      <c r="H14" s="12"/>
      <c r="I14" s="12"/>
      <c r="J14" s="12"/>
      <c r="K14" s="12"/>
      <c r="L14" s="12"/>
    </row>
    <row r="15" spans="1:12" s="5" customFormat="1" x14ac:dyDescent="0.25">
      <c r="A15" s="11" t="s">
        <v>13</v>
      </c>
      <c r="B15" s="15" t="s">
        <v>5</v>
      </c>
      <c r="C15" s="12">
        <v>0.19500000000000001</v>
      </c>
      <c r="D15" s="12">
        <v>0.19900000000000001</v>
      </c>
      <c r="E15" s="12">
        <v>0.182</v>
      </c>
      <c r="F15" s="12">
        <v>0.191</v>
      </c>
      <c r="G15" s="12">
        <v>0.19700000000000001</v>
      </c>
      <c r="H15" s="12">
        <v>0.185</v>
      </c>
      <c r="I15" s="12">
        <v>0.18099999999999999</v>
      </c>
      <c r="J15" s="12">
        <v>0.182</v>
      </c>
      <c r="K15" s="12">
        <v>0.182</v>
      </c>
      <c r="L15" s="12">
        <v>0.17199999999999999</v>
      </c>
    </row>
    <row r="16" spans="1:12" s="5" customFormat="1" x14ac:dyDescent="0.25">
      <c r="A16" s="11" t="s">
        <v>14</v>
      </c>
      <c r="B16" s="15" t="s">
        <v>17</v>
      </c>
      <c r="C16" s="28">
        <v>0.90200000000000002</v>
      </c>
      <c r="D16" s="28">
        <v>0.89300000000000002</v>
      </c>
      <c r="E16" s="28">
        <v>0.90200000000000002</v>
      </c>
      <c r="F16" s="28">
        <v>0.85599999999999998</v>
      </c>
      <c r="G16" s="28">
        <v>0.86899999999999999</v>
      </c>
      <c r="H16" s="28">
        <v>0.92200000000000004</v>
      </c>
      <c r="I16" s="28">
        <v>0.91800000000000004</v>
      </c>
      <c r="J16" s="28">
        <v>0.92400000000000004</v>
      </c>
      <c r="K16" s="28">
        <v>0.94699999999999995</v>
      </c>
      <c r="L16" s="28">
        <v>0.98399999999999999</v>
      </c>
    </row>
    <row r="19" spans="1:20" s="5" customFormat="1" x14ac:dyDescent="0.25">
      <c r="A19" t="s">
        <v>23</v>
      </c>
      <c r="B19" s="4" t="s">
        <v>18</v>
      </c>
      <c r="C19" s="23">
        <v>8.1999999999999993</v>
      </c>
      <c r="D19" s="23">
        <v>5.4</v>
      </c>
      <c r="E19" s="23">
        <v>6.2</v>
      </c>
      <c r="F19" s="23">
        <v>10</v>
      </c>
      <c r="G19" s="23">
        <v>16</v>
      </c>
      <c r="H19" s="23">
        <v>9.8000000000000007</v>
      </c>
      <c r="I19" s="23">
        <v>7</v>
      </c>
      <c r="J19" s="23">
        <v>11.8</v>
      </c>
      <c r="K19" s="23">
        <v>9.5</v>
      </c>
      <c r="L19" s="23">
        <v>12.8</v>
      </c>
    </row>
    <row r="20" spans="1:20" s="5" customFormat="1" x14ac:dyDescent="0.25">
      <c r="A20" t="s">
        <v>24</v>
      </c>
      <c r="B20" s="13" t="s">
        <v>19</v>
      </c>
      <c r="C20" s="23">
        <v>1.2</v>
      </c>
      <c r="D20" s="23">
        <v>0.8</v>
      </c>
      <c r="E20" s="23">
        <v>0.8</v>
      </c>
      <c r="F20" s="23">
        <v>1.1000000000000001</v>
      </c>
      <c r="G20" s="23">
        <v>0.7</v>
      </c>
      <c r="H20" s="23">
        <v>1</v>
      </c>
      <c r="I20" s="23">
        <v>0.9</v>
      </c>
      <c r="J20" s="23">
        <v>1.2</v>
      </c>
      <c r="K20" s="23">
        <v>1</v>
      </c>
      <c r="L20" s="23">
        <v>1.1000000000000001</v>
      </c>
    </row>
    <row r="22" spans="1:20" x14ac:dyDescent="0.25">
      <c r="B22" s="24" t="s">
        <v>79</v>
      </c>
      <c r="C22">
        <v>59.66</v>
      </c>
      <c r="D22">
        <v>36.729999999999997</v>
      </c>
      <c r="E22">
        <v>29.9</v>
      </c>
      <c r="F22">
        <v>41.35</v>
      </c>
      <c r="G22">
        <v>24.94</v>
      </c>
      <c r="H22">
        <v>33.56</v>
      </c>
      <c r="I22">
        <v>29.05</v>
      </c>
      <c r="J22">
        <v>36.104999999999997</v>
      </c>
      <c r="K22">
        <v>27.82</v>
      </c>
      <c r="L22">
        <v>28.91</v>
      </c>
      <c r="M22">
        <v>19.93</v>
      </c>
    </row>
    <row r="23" spans="1:20" x14ac:dyDescent="0.25">
      <c r="B23" s="24"/>
    </row>
    <row r="24" spans="1:20" x14ac:dyDescent="0.25">
      <c r="B24" t="s">
        <v>39</v>
      </c>
      <c r="C24" s="100">
        <f>(C22/F22)^(1/3)-1</f>
        <v>0.12997606664408878</v>
      </c>
      <c r="D24" s="100"/>
      <c r="E24" s="100"/>
      <c r="F24" s="100">
        <f>(F22/H22)^(1/2)-1</f>
        <v>0.1100097176608632</v>
      </c>
      <c r="G24" s="100"/>
      <c r="H24" s="100">
        <f>(H22/M22)^(1/5)-1</f>
        <v>0.10984653551687873</v>
      </c>
      <c r="I24" s="100"/>
      <c r="J24" s="100"/>
      <c r="K24" s="100"/>
      <c r="L24" s="100"/>
      <c r="M24" s="12">
        <f>(C22/M22)^(1/10)-1</f>
        <v>0.11588026021233389</v>
      </c>
    </row>
    <row r="26" spans="1:20" x14ac:dyDescent="0.25">
      <c r="B26" s="80"/>
      <c r="C26" s="80">
        <v>2015</v>
      </c>
      <c r="D26" s="80">
        <v>2016</v>
      </c>
      <c r="E26" s="80">
        <v>2017</v>
      </c>
      <c r="F26" s="80">
        <v>2018</v>
      </c>
      <c r="G26" s="80">
        <v>2019</v>
      </c>
      <c r="H26" s="81" t="s">
        <v>64</v>
      </c>
      <c r="I26" s="81" t="s">
        <v>65</v>
      </c>
      <c r="K26" s="80">
        <v>2020</v>
      </c>
      <c r="L26" s="80">
        <v>2021</v>
      </c>
      <c r="M26" s="81" t="s">
        <v>64</v>
      </c>
      <c r="N26" s="81" t="s">
        <v>65</v>
      </c>
      <c r="P26" s="80">
        <v>2022</v>
      </c>
      <c r="Q26" s="80">
        <v>2023</v>
      </c>
      <c r="R26" s="80">
        <v>2024</v>
      </c>
      <c r="S26" s="81" t="s">
        <v>64</v>
      </c>
      <c r="T26" s="81" t="s">
        <v>65</v>
      </c>
    </row>
    <row r="27" spans="1:20" x14ac:dyDescent="0.25">
      <c r="B27" s="4" t="s">
        <v>0</v>
      </c>
      <c r="C27" s="71">
        <f>VLOOKUP($B27,$B:$L,11,0)</f>
        <v>8.6117241845073272E-2</v>
      </c>
      <c r="D27" s="71">
        <f>VLOOKUP($B27,$B:$L,10,0)</f>
        <v>9.2564570533670648E-2</v>
      </c>
      <c r="E27" s="71">
        <f>VLOOKUP($B27,$B:$L,9,0)</f>
        <v>9.1193514873140855E-2</v>
      </c>
      <c r="F27" s="71">
        <f>VLOOKUP($B27,$B:$L,8,0)</f>
        <v>0.11460771636016746</v>
      </c>
      <c r="G27" s="71">
        <f>VLOOKUP($B27,$B:$L,7,0)</f>
        <v>9.3329100942520879E-2</v>
      </c>
      <c r="H27" s="71">
        <f>AVERAGE(C27:G27)</f>
        <v>9.5562428910914626E-2</v>
      </c>
      <c r="I27" s="71">
        <f>_xlfn.STDEV.P(C27:G27)</f>
        <v>9.848825831207211E-3</v>
      </c>
      <c r="K27" s="71">
        <f>VLOOKUP($B27,$B:$L,6,0)</f>
        <v>4.5760821062025885E-2</v>
      </c>
      <c r="L27" s="71">
        <f>VLOOKUP($B27,$B:$L,5,0)</f>
        <v>0.10241568494024582</v>
      </c>
      <c r="M27" s="71">
        <f>AVERAGE(K27:L27)</f>
        <v>7.4088253001135848E-2</v>
      </c>
      <c r="N27" s="71">
        <f>_xlfn.STDEV.P(K27:L27)</f>
        <v>2.8327431939109974E-2</v>
      </c>
      <c r="P27" s="71">
        <f>VLOOKUP($B27,$B:$L,4,0)</f>
        <v>0.10535467298952776</v>
      </c>
      <c r="Q27" s="71">
        <f>VLOOKUP($B27,$B:$L,3,0)</f>
        <v>0.13756929338292051</v>
      </c>
      <c r="R27" s="71">
        <f>VLOOKUP($B27,$B:$L,2,0)</f>
        <v>0.12822179608021581</v>
      </c>
      <c r="S27" s="71">
        <f>AVERAGE(P27:R27)</f>
        <v>0.12371525415088802</v>
      </c>
      <c r="T27" s="71">
        <f>_xlfn.STDEV.P(P27:R27)</f>
        <v>1.3532113210019878E-2</v>
      </c>
    </row>
    <row r="28" spans="1:20" x14ac:dyDescent="0.25">
      <c r="B28" s="6" t="s">
        <v>1</v>
      </c>
      <c r="C28" s="71">
        <f>VLOOKUP(B28,B:L,11,0)</f>
        <v>6.3838933028942182E-3</v>
      </c>
      <c r="D28" s="71">
        <f>VLOOKUP($B28,$B:$L,10,0)</f>
        <v>7.3802004543118815E-3</v>
      </c>
      <c r="E28" s="71">
        <f>VLOOKUP($B28,$B:$L,9,0)</f>
        <v>7.5580284511395411E-3</v>
      </c>
      <c r="F28" s="71">
        <f>VLOOKUP($B28,$B:$L,8,0)</f>
        <v>9.1326269468563117E-3</v>
      </c>
      <c r="G28" s="71">
        <f>VLOOKUP($B28,$B:$L,7,0)</f>
        <v>7.7784063852042989E-3</v>
      </c>
      <c r="H28" s="71">
        <f>AVERAGE(C28:G28)</f>
        <v>7.6466311080812506E-3</v>
      </c>
      <c r="I28" s="71">
        <f>_xlfn.STDEV.P(C28:G28)</f>
        <v>8.8305049065739386E-4</v>
      </c>
      <c r="K28" s="71">
        <f>VLOOKUP($B28,$B:$L,6,0)</f>
        <v>3.6969076476059326E-3</v>
      </c>
      <c r="L28" s="71">
        <f>VLOOKUP($B28,$B:$L,5,0)</f>
        <v>7.8330535930364181E-3</v>
      </c>
      <c r="M28" s="71">
        <f>AVERAGE(K28:L28)</f>
        <v>5.7649806203211758E-3</v>
      </c>
      <c r="N28" s="71">
        <f>_xlfn.STDEV.P(K28:L28)</f>
        <v>2.0680729727152428E-3</v>
      </c>
      <c r="P28" s="71">
        <f>VLOOKUP($B28,$B:$L,4,0)</f>
        <v>8.2318249888070644E-3</v>
      </c>
      <c r="Q28" s="71">
        <f>VLOOKUP($B28,$B:$L,3,0)</f>
        <v>1.1629665880678026E-2</v>
      </c>
      <c r="R28" s="71">
        <f>VLOOKUP($B28,$B:$L,2,0)</f>
        <v>1.1152384829364271E-2</v>
      </c>
      <c r="S28" s="71">
        <f>AVERAGE(P28:R28)</f>
        <v>1.0337958566283121E-2</v>
      </c>
      <c r="T28" s="71">
        <f>_xlfn.STDEV.P(P28:R28)</f>
        <v>1.5019539018924334E-3</v>
      </c>
    </row>
    <row r="29" spans="1:20" x14ac:dyDescent="0.25">
      <c r="B29" s="80" t="s">
        <v>2</v>
      </c>
      <c r="C29" s="71">
        <f>VLOOKUP(B29,B:L,11,0)</f>
        <v>2.5899999999999999E-2</v>
      </c>
      <c r="D29" s="71">
        <f>VLOOKUP($B29,$B:$L,10,0)</f>
        <v>2.5100000000000001E-2</v>
      </c>
      <c r="E29" s="71">
        <f>VLOOKUP($B29,$B:$L,9,0)</f>
        <v>2.4E-2</v>
      </c>
      <c r="F29" s="71">
        <f>VLOOKUP($B29,$B:$L,8,0)</f>
        <v>2.3E-2</v>
      </c>
      <c r="G29" s="71">
        <f>VLOOKUP($B29,$B:$L,7,0)</f>
        <v>2.18E-2</v>
      </c>
      <c r="H29" s="71">
        <f>AVERAGE(C29:G29)</f>
        <v>2.3960000000000002E-2</v>
      </c>
      <c r="I29" s="71">
        <f>_xlfn.STDEV.P(C29:G29)</f>
        <v>1.4595889832415151E-3</v>
      </c>
      <c r="K29" s="71">
        <f>VLOOKUP($B29,$B:$L,6,0)</f>
        <v>2.0799999999999999E-2</v>
      </c>
      <c r="L29" s="71">
        <f>VLOOKUP($B29,$B:$L,5,0)</f>
        <v>2.0500000000000001E-2</v>
      </c>
      <c r="M29" s="71">
        <f>AVERAGE(K29:L29)</f>
        <v>2.0650000000000002E-2</v>
      </c>
      <c r="N29" s="71">
        <f>_xlfn.STDEV.P(K29:L29)</f>
        <v>1.4999999999999909E-4</v>
      </c>
      <c r="P29" s="71">
        <f>VLOOKUP($B29,$B:$L,4,0)</f>
        <v>2.2100000000000002E-2</v>
      </c>
      <c r="Q29" s="71">
        <f>VLOOKUP($B29,$B:$L,3,0)</f>
        <v>2.5000000000000001E-2</v>
      </c>
      <c r="R29" s="71">
        <f>VLOOKUP($B29,$B:$L,2,0)</f>
        <v>2.46E-2</v>
      </c>
      <c r="S29" s="71">
        <f>AVERAGE(P29:R29)</f>
        <v>2.3900000000000001E-2</v>
      </c>
      <c r="T29" s="71">
        <f>_xlfn.STDEV.P(P29:R29)</f>
        <v>1.2832251036613434E-3</v>
      </c>
    </row>
    <row r="32" spans="1:20" x14ac:dyDescent="0.25">
      <c r="B32" s="80"/>
      <c r="C32" s="80">
        <v>2015</v>
      </c>
      <c r="D32" s="80">
        <v>2016</v>
      </c>
      <c r="E32" s="80">
        <v>2017</v>
      </c>
      <c r="F32" s="80">
        <v>2018</v>
      </c>
      <c r="G32" s="80">
        <v>2019</v>
      </c>
      <c r="H32" s="81" t="s">
        <v>64</v>
      </c>
      <c r="I32" s="81" t="s">
        <v>65</v>
      </c>
      <c r="K32" s="80">
        <v>2020</v>
      </c>
      <c r="L32" s="80">
        <v>2021</v>
      </c>
      <c r="M32" s="81" t="s">
        <v>64</v>
      </c>
      <c r="N32" s="81" t="s">
        <v>65</v>
      </c>
      <c r="P32" s="80">
        <v>2022</v>
      </c>
      <c r="Q32" s="80">
        <v>2023</v>
      </c>
      <c r="R32" s="80">
        <v>2024</v>
      </c>
      <c r="S32" s="81" t="s">
        <v>64</v>
      </c>
      <c r="T32" s="81" t="s">
        <v>65</v>
      </c>
    </row>
    <row r="33" spans="2:20" x14ac:dyDescent="0.25">
      <c r="B33" s="80" t="s">
        <v>3</v>
      </c>
      <c r="C33" s="71">
        <f>VLOOKUP($B33,$B:$L,11,0)</f>
        <v>0.57099999999999995</v>
      </c>
      <c r="D33" s="71">
        <f>VLOOKUP($B33,$B:$L,10,0)</f>
        <v>0.60199999999999998</v>
      </c>
      <c r="E33" s="71">
        <f>VLOOKUP($B33,$B:$L,9,0)</f>
        <v>0.624</v>
      </c>
      <c r="F33" s="71">
        <f>VLOOKUP($B33,$B:$L,8,0)</f>
        <v>0.60499999999999998</v>
      </c>
      <c r="G33" s="71">
        <f>VLOOKUP($B33,$B:$L,7,0)</f>
        <v>0.59</v>
      </c>
      <c r="H33" s="71">
        <f>AVERAGE(C33:G33)</f>
        <v>0.59840000000000004</v>
      </c>
      <c r="I33" s="71">
        <f>_xlfn.STDEV.P(C33:G33)</f>
        <v>1.7511139311878039E-2</v>
      </c>
      <c r="K33" s="71">
        <f>VLOOKUP($B33,$B:$L,6,0)</f>
        <v>0.59</v>
      </c>
      <c r="L33" s="71">
        <f>VLOOKUP($B33,$B:$L,5,0)</f>
        <v>0.55600000000000005</v>
      </c>
      <c r="M33" s="71">
        <f>AVERAGE(K33:L33)</f>
        <v>0.57299999999999995</v>
      </c>
      <c r="N33" s="71">
        <f>_xlfn.STDEV.P(K33:L33)</f>
        <v>1.699999999999996E-2</v>
      </c>
      <c r="P33" s="71">
        <f>VLOOKUP($B33,$B:$L,4,0)</f>
        <v>0.53400000000000003</v>
      </c>
      <c r="Q33" s="71">
        <f>VLOOKUP($B33,$B:$L,3,0)</f>
        <v>0.47599999999999998</v>
      </c>
      <c r="R33" s="71">
        <f>VLOOKUP($B33,$B:$L,2,0)</f>
        <v>0.47199999999999998</v>
      </c>
      <c r="S33" s="71">
        <f>AVERAGE(P33:R33)</f>
        <v>0.49399999999999999</v>
      </c>
      <c r="T33" s="71">
        <f>_xlfn.STDEV.P(P33:R33)</f>
        <v>2.8331372481167731E-2</v>
      </c>
    </row>
    <row r="34" spans="2:20" x14ac:dyDescent="0.25">
      <c r="B34" s="80" t="s">
        <v>4</v>
      </c>
      <c r="C34" s="71">
        <f>VLOOKUP(B34,B:L,11,0)</f>
        <v>7.0999999999999994E-2</v>
      </c>
      <c r="D34" s="71">
        <f>VLOOKUP($B34,$B:$L,10,0)</f>
        <v>4.9000000000000002E-2</v>
      </c>
      <c r="E34" s="71">
        <f>VLOOKUP($B34,$B:$L,9,0)</f>
        <v>0.04</v>
      </c>
      <c r="F34" s="71">
        <f>VLOOKUP($B34,$B:$L,8,0)</f>
        <v>3.2000000000000001E-2</v>
      </c>
      <c r="G34" s="71">
        <f>VLOOKUP($B34,$B:$L,7,0)</f>
        <v>2.5000000000000001E-2</v>
      </c>
      <c r="H34" s="71">
        <f>AVERAGE(C34:G34)</f>
        <v>4.3400000000000001E-2</v>
      </c>
      <c r="I34" s="71">
        <f>_xlfn.STDEV.P(C34:G34)</f>
        <v>1.5957443404254961E-2</v>
      </c>
      <c r="K34" s="71">
        <f>VLOOKUP($B34,$B:$L,6,0)</f>
        <v>2.7E-2</v>
      </c>
      <c r="L34" s="71">
        <f>VLOOKUP($B34,$B:$L,5,0)</f>
        <v>2.4E-2</v>
      </c>
      <c r="M34" s="71">
        <f>AVERAGE(K34:L34)</f>
        <v>2.5500000000000002E-2</v>
      </c>
      <c r="N34" s="71">
        <f>_xlfn.STDEV.P(K34:L34)</f>
        <v>1.4999999999999996E-3</v>
      </c>
      <c r="P34" s="71">
        <f>VLOOKUP($B34,$B:$L,4,0)</f>
        <v>0.02</v>
      </c>
      <c r="Q34" s="71">
        <f>VLOOKUP($B34,$B:$L,3,0)</f>
        <v>2.3E-2</v>
      </c>
      <c r="R34" s="71">
        <f>VLOOKUP($B34,$B:$L,2,0)</f>
        <v>2.5999999999999999E-2</v>
      </c>
      <c r="S34" s="71">
        <f>AVERAGE(P34:R34)</f>
        <v>2.2999999999999996E-2</v>
      </c>
      <c r="T34" s="71">
        <f>_xlfn.STDEV.P(P34:R34)</f>
        <v>2.4494897427831774E-3</v>
      </c>
    </row>
    <row r="37" spans="2:20" x14ac:dyDescent="0.25">
      <c r="B37" s="80"/>
      <c r="C37" s="80">
        <v>2015</v>
      </c>
      <c r="D37" s="80">
        <v>2016</v>
      </c>
      <c r="E37" s="80">
        <v>2017</v>
      </c>
      <c r="F37" s="80">
        <v>2018</v>
      </c>
      <c r="G37" s="80">
        <v>2019</v>
      </c>
      <c r="H37" s="81" t="s">
        <v>64</v>
      </c>
      <c r="I37" s="81" t="s">
        <v>65</v>
      </c>
      <c r="K37" s="80">
        <v>2020</v>
      </c>
      <c r="L37" s="80">
        <v>2021</v>
      </c>
      <c r="M37" s="81" t="s">
        <v>64</v>
      </c>
      <c r="N37" s="81" t="s">
        <v>65</v>
      </c>
      <c r="P37" s="80">
        <v>2022</v>
      </c>
      <c r="Q37" s="80">
        <v>2023</v>
      </c>
      <c r="R37" s="80">
        <v>2024</v>
      </c>
      <c r="S37" s="81" t="s">
        <v>64</v>
      </c>
      <c r="T37" s="81" t="s">
        <v>65</v>
      </c>
    </row>
    <row r="38" spans="2:20" x14ac:dyDescent="0.25">
      <c r="B38" s="80" t="s">
        <v>5</v>
      </c>
      <c r="C38" s="71">
        <f>VLOOKUP($B38,$B:$L,11,0)</f>
        <v>0.17199999999999999</v>
      </c>
      <c r="D38" s="71">
        <f>VLOOKUP($B38,$B:$L,10,0)</f>
        <v>0.182</v>
      </c>
      <c r="E38" s="71">
        <f>VLOOKUP($B38,$B:$L,9,0)</f>
        <v>0.182</v>
      </c>
      <c r="F38" s="71">
        <f>VLOOKUP($B38,$B:$L,8,0)</f>
        <v>0.18099999999999999</v>
      </c>
      <c r="G38" s="71">
        <f>VLOOKUP($B38,$B:$L,7,0)</f>
        <v>0.185</v>
      </c>
      <c r="H38" s="71">
        <f>AVERAGE(C38:G38)</f>
        <v>0.18040000000000003</v>
      </c>
      <c r="I38" s="71">
        <f>_xlfn.STDEV.P(C38:G38)</f>
        <v>4.4090815370097245E-3</v>
      </c>
      <c r="K38" s="71">
        <f>VLOOKUP($B38,$B:$L,6,0)</f>
        <v>0.19700000000000001</v>
      </c>
      <c r="L38" s="71">
        <f>VLOOKUP($B38,$B:$L,5,0)</f>
        <v>0.191</v>
      </c>
      <c r="M38" s="71">
        <f>AVERAGE(K38:L38)</f>
        <v>0.19400000000000001</v>
      </c>
      <c r="N38" s="71">
        <f>_xlfn.STDEV.P(K38:L38)</f>
        <v>3.0000000000000027E-3</v>
      </c>
      <c r="P38" s="71">
        <f>VLOOKUP($B38,$B:$L,4,0)</f>
        <v>0.182</v>
      </c>
      <c r="Q38" s="71">
        <f>VLOOKUP($B38,$B:$L,3,0)</f>
        <v>0.19900000000000001</v>
      </c>
      <c r="R38" s="71">
        <f>VLOOKUP($B38,$B:$L,2,0)</f>
        <v>0.19500000000000001</v>
      </c>
      <c r="S38" s="71">
        <f>AVERAGE(P38:R38)</f>
        <v>0.19200000000000003</v>
      </c>
      <c r="T38" s="71">
        <f>_xlfn.STDEV.P(P38:R38)</f>
        <v>7.2571803523590866E-3</v>
      </c>
    </row>
    <row r="39" spans="2:20" x14ac:dyDescent="0.25">
      <c r="B39" s="80" t="s">
        <v>20</v>
      </c>
      <c r="C39" s="71" t="s">
        <v>54</v>
      </c>
      <c r="D39" s="71" t="s">
        <v>54</v>
      </c>
      <c r="E39" s="71">
        <f>VLOOKUP($B39,$B:$L,9,0)</f>
        <v>1.452</v>
      </c>
      <c r="F39" s="71">
        <f>VLOOKUP($B39,$B:$L,8,0)</f>
        <v>1.5009999999999999</v>
      </c>
      <c r="G39" s="71">
        <f>VLOOKUP($B39,$B:$L,7,0)</f>
        <v>1.48</v>
      </c>
      <c r="H39" s="71">
        <f>AVERAGE(E39:G39)</f>
        <v>1.4776666666666667</v>
      </c>
      <c r="I39" s="71">
        <f>_xlfn.STDEV.P(E39:G39)</f>
        <v>2.0072092289766103E-2</v>
      </c>
      <c r="K39" s="71">
        <f>VLOOKUP($B39,$B:$L,6,0)</f>
        <v>1.893</v>
      </c>
      <c r="L39" s="71">
        <f>VLOOKUP($B39,$B:$L,5,0)</f>
        <v>1.7729999999999999</v>
      </c>
      <c r="M39" s="71">
        <f>AVERAGE(K39:L39)</f>
        <v>1.833</v>
      </c>
      <c r="N39" s="71">
        <f>_xlfn.STDEV.P(K39:L39)</f>
        <v>6.0000000000000053E-2</v>
      </c>
      <c r="P39" s="71">
        <f>VLOOKUP($B39,$B:$L,4,0)</f>
        <v>1.38</v>
      </c>
      <c r="Q39" s="71">
        <f>VLOOKUP($B39,$B:$L,3,0)</f>
        <v>1.534</v>
      </c>
      <c r="R39" s="71">
        <f>VLOOKUP($B39,$B:$L,2,0)</f>
        <v>1.516</v>
      </c>
      <c r="S39" s="71">
        <f>AVERAGE(P39:R39)</f>
        <v>1.4766666666666666</v>
      </c>
      <c r="T39" s="71">
        <f>_xlfn.STDEV.P(P39:R39)</f>
        <v>6.8747525207982801E-2</v>
      </c>
    </row>
    <row r="40" spans="2:20" x14ac:dyDescent="0.25">
      <c r="B40" s="80" t="s">
        <v>17</v>
      </c>
      <c r="C40" s="71">
        <f>VLOOKUP(B40,B:L,11,0)</f>
        <v>0.98399999999999999</v>
      </c>
      <c r="D40" s="71">
        <f>VLOOKUP($B40,$B:$L,10,0)</f>
        <v>0.94699999999999995</v>
      </c>
      <c r="E40" s="71">
        <f>VLOOKUP($B40,$B:$L,9,0)</f>
        <v>0.92400000000000004</v>
      </c>
      <c r="F40" s="71">
        <f>VLOOKUP($B40,$B:$L,8,0)</f>
        <v>0.91800000000000004</v>
      </c>
      <c r="G40" s="71">
        <f>VLOOKUP($B40,$B:$L,7,0)</f>
        <v>0.92200000000000004</v>
      </c>
      <c r="H40" s="71">
        <f>AVERAGE(C40:G40)</f>
        <v>0.93900000000000006</v>
      </c>
      <c r="I40" s="71">
        <f>_xlfn.STDEV.P(C40:G40)</f>
        <v>2.4673872821265794E-2</v>
      </c>
      <c r="K40" s="71">
        <f>VLOOKUP($B40,$B:$L,6,0)</f>
        <v>0.86899999999999999</v>
      </c>
      <c r="L40" s="71">
        <f>VLOOKUP($B40,$B:$L,5,0)</f>
        <v>0.85599999999999998</v>
      </c>
      <c r="M40" s="71">
        <f>AVERAGE(K40:L40)</f>
        <v>0.86250000000000004</v>
      </c>
      <c r="N40" s="71">
        <f>_xlfn.STDEV.P(K40:L40)</f>
        <v>6.5000000000000058E-3</v>
      </c>
      <c r="P40" s="71">
        <f>VLOOKUP($B40,$B:$L,4,0)</f>
        <v>0.90200000000000002</v>
      </c>
      <c r="Q40" s="71">
        <f>VLOOKUP($B40,$B:$L,3,0)</f>
        <v>0.89300000000000002</v>
      </c>
      <c r="R40" s="71">
        <f>VLOOKUP($B40,$B:$L,2,0)</f>
        <v>0.90200000000000002</v>
      </c>
      <c r="S40" s="71">
        <f>AVERAGE(P40:R40)</f>
        <v>0.89900000000000002</v>
      </c>
      <c r="T40" s="71">
        <f>_xlfn.STDEV.P(P40:R40)</f>
        <v>4.2426406871192892E-3</v>
      </c>
    </row>
    <row r="43" spans="2:20" x14ac:dyDescent="0.25">
      <c r="B43" s="80"/>
      <c r="C43" s="80">
        <v>2015</v>
      </c>
      <c r="D43" s="80">
        <v>2016</v>
      </c>
      <c r="E43" s="80">
        <v>2017</v>
      </c>
      <c r="F43" s="80">
        <v>2018</v>
      </c>
      <c r="G43" s="80">
        <v>2019</v>
      </c>
      <c r="H43" s="81" t="s">
        <v>64</v>
      </c>
      <c r="I43" s="81" t="s">
        <v>65</v>
      </c>
      <c r="K43" s="80">
        <v>2020</v>
      </c>
      <c r="L43" s="80">
        <v>2021</v>
      </c>
      <c r="M43" s="81" t="s">
        <v>64</v>
      </c>
      <c r="N43" s="81" t="s">
        <v>65</v>
      </c>
      <c r="P43" s="80">
        <v>2022</v>
      </c>
      <c r="Q43" s="80">
        <v>2023</v>
      </c>
      <c r="R43" s="80">
        <v>2024</v>
      </c>
      <c r="S43" s="81" t="s">
        <v>64</v>
      </c>
      <c r="T43" s="81" t="s">
        <v>65</v>
      </c>
    </row>
    <row r="44" spans="2:20" ht="45" x14ac:dyDescent="0.25">
      <c r="B44" s="115" t="s">
        <v>79</v>
      </c>
      <c r="C44" s="73">
        <f>VLOOKUP($B44,$B:$L,11,0)</f>
        <v>28.91</v>
      </c>
      <c r="D44" s="73">
        <f>VLOOKUP($B44,$B:$L,10,0)</f>
        <v>27.82</v>
      </c>
      <c r="E44" s="73">
        <f>VLOOKUP($B44,$B:$L,9,0)</f>
        <v>36.104999999999997</v>
      </c>
      <c r="F44" s="73">
        <f>VLOOKUP($B44,$B:$L,8,0)</f>
        <v>29.05</v>
      </c>
      <c r="G44" s="73">
        <f>VLOOKUP($B44,$B:$L,7,0)</f>
        <v>33.56</v>
      </c>
      <c r="H44" s="73">
        <f>AVERAGE(C44:G44)</f>
        <v>31.088999999999999</v>
      </c>
      <c r="I44" s="73">
        <f>_xlfn.STDEV.P(C44:G44)</f>
        <v>3.1892952199506523</v>
      </c>
      <c r="J44" s="82"/>
      <c r="K44" s="73">
        <f>VLOOKUP($B44,$B:$L,6,0)</f>
        <v>24.94</v>
      </c>
      <c r="L44" s="73">
        <f>VLOOKUP($B44,$B:$L,5,0)</f>
        <v>41.35</v>
      </c>
      <c r="M44" s="73">
        <f>AVERAGE(K44:L44)</f>
        <v>33.145000000000003</v>
      </c>
      <c r="N44" s="73">
        <f>_xlfn.STDEV.P(K44:L44)</f>
        <v>8.2049999999999965</v>
      </c>
      <c r="O44" s="82"/>
      <c r="P44" s="73">
        <f>VLOOKUP($B44,$B:$L,4,0)</f>
        <v>29.9</v>
      </c>
      <c r="Q44" s="73">
        <f>VLOOKUP($B44,$B:$L,3,0)</f>
        <v>36.729999999999997</v>
      </c>
      <c r="R44" s="73">
        <f>VLOOKUP($B44,$B:$L,2,0)</f>
        <v>59.66</v>
      </c>
      <c r="S44" s="73">
        <f>AVERAGE(P44:R44)</f>
        <v>42.096666666666664</v>
      </c>
      <c r="T44" s="73">
        <f>_xlfn.STDEV.P(P44:R44)</f>
        <v>12.728321003005686</v>
      </c>
    </row>
    <row r="45" spans="2:20" x14ac:dyDescent="0.25">
      <c r="B45" s="80" t="s">
        <v>18</v>
      </c>
      <c r="C45" s="73">
        <f>VLOOKUP($B45,$B:$L,11,0)</f>
        <v>12.8</v>
      </c>
      <c r="D45" s="73">
        <f>VLOOKUP($B45,$B:$L,10,0)</f>
        <v>9.5</v>
      </c>
      <c r="E45" s="73">
        <f>VLOOKUP($B45,$B:$L,9,0)</f>
        <v>11.8</v>
      </c>
      <c r="F45" s="73">
        <f>VLOOKUP($B45,$B:$L,8,0)</f>
        <v>7</v>
      </c>
      <c r="G45" s="73">
        <f>VLOOKUP($B45,$B:$L,7,0)</f>
        <v>9.8000000000000007</v>
      </c>
      <c r="H45" s="73">
        <f>AVERAGE(C45:G45)</f>
        <v>10.180000000000001</v>
      </c>
      <c r="I45" s="73">
        <f>_xlfn.STDEV.P(C45:G45)</f>
        <v>2.0103730997006499</v>
      </c>
      <c r="J45" s="82"/>
      <c r="K45" s="73">
        <f>VLOOKUP($B45,$B:$L,6,0)</f>
        <v>16</v>
      </c>
      <c r="L45" s="73">
        <f>VLOOKUP($B45,$B:$L,5,0)</f>
        <v>10</v>
      </c>
      <c r="M45" s="73">
        <f>AVERAGE(K45:L45)</f>
        <v>13</v>
      </c>
      <c r="N45" s="73">
        <f>_xlfn.STDEV.P(K45:L45)</f>
        <v>3</v>
      </c>
      <c r="O45" s="82"/>
      <c r="P45" s="73">
        <f>VLOOKUP($B45,$B:$L,4,0)</f>
        <v>6.2</v>
      </c>
      <c r="Q45" s="73">
        <f>VLOOKUP($B45,$B:$L,3,0)</f>
        <v>5.4</v>
      </c>
      <c r="R45" s="73">
        <f>VLOOKUP($B45,$B:$L,2,0)</f>
        <v>8.1999999999999993</v>
      </c>
      <c r="S45" s="73">
        <f>AVERAGE(P45:R45)</f>
        <v>6.6000000000000005</v>
      </c>
      <c r="T45" s="73">
        <f>_xlfn.STDEV.P(P45:R45)</f>
        <v>1.1775681155103777</v>
      </c>
    </row>
    <row r="46" spans="2:20" x14ac:dyDescent="0.25">
      <c r="B46" s="80" t="s">
        <v>19</v>
      </c>
      <c r="C46" s="73">
        <f>VLOOKUP(B46,B:L,11,0)</f>
        <v>1.1000000000000001</v>
      </c>
      <c r="D46" s="73">
        <f>VLOOKUP($B46,$B:$L,10,0)</f>
        <v>1</v>
      </c>
      <c r="E46" s="73">
        <f>VLOOKUP($B46,$B:$L,9,0)</f>
        <v>1.2</v>
      </c>
      <c r="F46" s="73">
        <f>VLOOKUP($B46,$B:$L,8,0)</f>
        <v>0.9</v>
      </c>
      <c r="G46" s="73">
        <f>VLOOKUP($B46,$B:$L,7,0)</f>
        <v>1</v>
      </c>
      <c r="H46" s="73">
        <f>AVERAGE(C46:G46)</f>
        <v>1.04</v>
      </c>
      <c r="I46" s="73">
        <f>_xlfn.STDEV.P(C46:G46)</f>
        <v>0.10198039027185568</v>
      </c>
      <c r="J46" s="82"/>
      <c r="K46" s="73">
        <f>VLOOKUP($B46,$B:$L,6,0)</f>
        <v>0.7</v>
      </c>
      <c r="L46" s="73">
        <f>VLOOKUP($B46,$B:$L,5,0)</f>
        <v>1.1000000000000001</v>
      </c>
      <c r="M46" s="73">
        <f>AVERAGE(K46:L46)</f>
        <v>0.9</v>
      </c>
      <c r="N46" s="73">
        <f>_xlfn.STDEV.P(K46:L46)</f>
        <v>0.20000000000000009</v>
      </c>
      <c r="O46" s="82"/>
      <c r="P46" s="73">
        <f>VLOOKUP($B46,$B:$L,4,0)</f>
        <v>0.8</v>
      </c>
      <c r="Q46" s="73">
        <f>VLOOKUP($B46,$B:$L,3,0)</f>
        <v>0.8</v>
      </c>
      <c r="R46" s="73">
        <f>VLOOKUP($B46,$B:$L,2,0)</f>
        <v>1.2</v>
      </c>
      <c r="S46" s="73">
        <f>AVERAGE(P46:R46)</f>
        <v>0.93333333333333324</v>
      </c>
      <c r="T46" s="73">
        <f>_xlfn.STDEV.P(P46:R46)</f>
        <v>0.18856180831641303</v>
      </c>
    </row>
  </sheetData>
  <mergeCells count="3">
    <mergeCell ref="C24:E24"/>
    <mergeCell ref="F24:G24"/>
    <mergeCell ref="H24:L24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EABBC-F8FF-4435-9A38-8AFE21AE1E82}">
  <dimension ref="A1:L19"/>
  <sheetViews>
    <sheetView workbookViewId="0">
      <selection activeCell="D5" sqref="D5"/>
    </sheetView>
  </sheetViews>
  <sheetFormatPr defaultRowHeight="15" x14ac:dyDescent="0.25"/>
  <cols>
    <col min="1" max="1" width="31.42578125" style="3" bestFit="1" customWidth="1"/>
    <col min="2" max="2" width="18.42578125" bestFit="1" customWidth="1"/>
    <col min="3" max="4" width="13.28515625" customWidth="1"/>
    <col min="5" max="5" width="14" customWidth="1"/>
    <col min="6" max="6" width="11.28515625" customWidth="1"/>
    <col min="7" max="7" width="13.28515625" customWidth="1"/>
    <col min="8" max="12" width="13.28515625" bestFit="1" customWidth="1"/>
  </cols>
  <sheetData>
    <row r="1" spans="1:12" x14ac:dyDescent="0.25">
      <c r="C1" s="16">
        <v>2024</v>
      </c>
      <c r="D1" s="17">
        <v>2023</v>
      </c>
      <c r="E1" s="17">
        <v>2022</v>
      </c>
      <c r="F1" s="17">
        <v>2021</v>
      </c>
      <c r="G1" s="17">
        <v>2020</v>
      </c>
      <c r="H1" s="17">
        <v>2019</v>
      </c>
      <c r="I1" s="17">
        <v>2018</v>
      </c>
      <c r="J1" s="17">
        <v>2017</v>
      </c>
      <c r="K1" s="17">
        <v>2016</v>
      </c>
      <c r="L1" s="18">
        <v>2015</v>
      </c>
    </row>
    <row r="2" spans="1:12" s="3" customFormat="1" x14ac:dyDescent="0.25">
      <c r="A2" s="11" t="s">
        <v>8</v>
      </c>
      <c r="B2" s="4" t="s">
        <v>0</v>
      </c>
      <c r="C2" s="9">
        <v>0.107</v>
      </c>
      <c r="D2" s="9">
        <v>0.10299999999999999</v>
      </c>
      <c r="E2" s="9">
        <v>7.2300000000000003E-2</v>
      </c>
      <c r="F2" s="9">
        <v>7.3800000000000004E-2</v>
      </c>
      <c r="G2" s="9">
        <v>2.8899999999999999E-2</v>
      </c>
      <c r="H2" s="9">
        <v>6.5100000000000005E-2</v>
      </c>
      <c r="I2" s="9">
        <v>7.8100000000000003E-2</v>
      </c>
      <c r="J2" s="9">
        <v>7.6899999999999996E-2</v>
      </c>
      <c r="K2" s="9">
        <v>6.9900000000000004E-2</v>
      </c>
      <c r="L2" s="9">
        <v>6.8500000000000005E-2</v>
      </c>
    </row>
    <row r="3" spans="1:12" s="5" customFormat="1" x14ac:dyDescent="0.25">
      <c r="A3" s="11" t="s">
        <v>9</v>
      </c>
      <c r="B3" s="6" t="s">
        <v>1</v>
      </c>
      <c r="C3" s="12">
        <v>8.0999999999999996E-3</v>
      </c>
      <c r="D3" s="12">
        <v>7.4999999999999997E-3</v>
      </c>
      <c r="E3" s="12">
        <v>4.7999999999999996E-3</v>
      </c>
      <c r="F3" s="12">
        <v>5.0000000000000001E-3</v>
      </c>
      <c r="G3" s="12">
        <v>1.9E-3</v>
      </c>
      <c r="H3" s="12">
        <v>4.7999999999999996E-3</v>
      </c>
      <c r="I3" s="12">
        <v>5.5999999999999999E-3</v>
      </c>
      <c r="J3" s="12">
        <v>5.4000000000000003E-3</v>
      </c>
      <c r="K3" s="12">
        <v>4.7000000000000002E-3</v>
      </c>
      <c r="L3" s="12">
        <v>4.5999999999999999E-3</v>
      </c>
    </row>
    <row r="4" spans="1:12" s="5" customFormat="1" x14ac:dyDescent="0.25">
      <c r="A4" s="11" t="s">
        <v>10</v>
      </c>
      <c r="B4" s="13" t="s">
        <v>2</v>
      </c>
      <c r="C4" s="12">
        <v>1.7600000000000001E-2</v>
      </c>
      <c r="D4" s="12">
        <v>1.7299999999999999E-2</v>
      </c>
      <c r="E4" s="12">
        <v>1.3299999999999999E-2</v>
      </c>
      <c r="F4" s="12">
        <v>1.18E-2</v>
      </c>
      <c r="G4" s="12">
        <v>1.24E-2</v>
      </c>
      <c r="H4" s="12">
        <v>1.44E-2</v>
      </c>
      <c r="I4" s="12">
        <v>1.49E-2</v>
      </c>
      <c r="J4" s="12">
        <v>1.4E-2</v>
      </c>
      <c r="K4" s="12">
        <v>1.47E-2</v>
      </c>
      <c r="L4" s="12">
        <v>1.6E-2</v>
      </c>
    </row>
    <row r="5" spans="1:12" s="5" customFormat="1" x14ac:dyDescent="0.25">
      <c r="A5" s="11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s="5" customFormat="1" x14ac:dyDescent="0.25">
      <c r="A6" s="11" t="s">
        <v>11</v>
      </c>
      <c r="B6" s="4" t="s">
        <v>3</v>
      </c>
      <c r="C6" s="12">
        <v>0.51170000000000004</v>
      </c>
      <c r="D6" s="12">
        <v>0.53500000000000003</v>
      </c>
      <c r="E6" s="12">
        <v>0.5998</v>
      </c>
      <c r="F6" s="12">
        <v>0.61129999999999995</v>
      </c>
      <c r="G6" s="12">
        <v>0.63680000000000003</v>
      </c>
      <c r="H6" s="12">
        <v>0.61170000000000002</v>
      </c>
      <c r="I6" s="12">
        <v>0.61409999999999998</v>
      </c>
      <c r="J6" s="12">
        <v>0.61860000000000004</v>
      </c>
      <c r="K6" s="12">
        <v>0.61319999999999997</v>
      </c>
      <c r="L6" s="12">
        <v>0.60270000000000001</v>
      </c>
    </row>
    <row r="7" spans="1:12" s="3" customFormat="1" x14ac:dyDescent="0.25">
      <c r="A7" s="3" t="s">
        <v>25</v>
      </c>
      <c r="B7" s="8" t="s">
        <v>20</v>
      </c>
      <c r="C7" s="9">
        <v>1.5386</v>
      </c>
      <c r="D7" s="9">
        <v>1.5979000000000001</v>
      </c>
      <c r="E7" s="9">
        <v>1.5902000000000001</v>
      </c>
      <c r="F7" s="9">
        <v>1.7335</v>
      </c>
      <c r="G7" s="9">
        <v>1.625</v>
      </c>
      <c r="H7" s="9">
        <v>1.4298999999999999</v>
      </c>
      <c r="I7" s="9">
        <v>1.403</v>
      </c>
      <c r="J7" s="9">
        <v>1.381</v>
      </c>
      <c r="K7" s="9">
        <v>1.3905000000000001</v>
      </c>
      <c r="L7" s="21"/>
    </row>
    <row r="8" spans="1:12" s="5" customFormat="1" x14ac:dyDescent="0.25">
      <c r="A8" s="11" t="s">
        <v>12</v>
      </c>
      <c r="B8" s="13" t="s">
        <v>4</v>
      </c>
      <c r="C8" s="12">
        <v>1.7100000000000001E-2</v>
      </c>
      <c r="D8" s="12">
        <v>1.66E-2</v>
      </c>
      <c r="E8" s="12">
        <v>1.49E-2</v>
      </c>
      <c r="F8" s="12">
        <v>1.7399999999999999E-2</v>
      </c>
      <c r="G8" s="12">
        <v>2.23E-2</v>
      </c>
      <c r="H8" s="12">
        <v>2.69E-2</v>
      </c>
      <c r="I8" s="12">
        <v>3.0499999999999999E-2</v>
      </c>
      <c r="J8" s="12">
        <v>3.6700000000000003E-2</v>
      </c>
      <c r="K8" s="12">
        <v>4.3999999999999997E-2</v>
      </c>
      <c r="L8" s="12">
        <v>5.0500000000000003E-2</v>
      </c>
    </row>
    <row r="9" spans="1:12" s="5" customFormat="1" x14ac:dyDescent="0.25">
      <c r="A9" s="11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s="5" customFormat="1" x14ac:dyDescent="0.25">
      <c r="A10" s="11" t="s">
        <v>13</v>
      </c>
      <c r="B10" s="15" t="s">
        <v>5</v>
      </c>
      <c r="C10" s="12">
        <v>0.20849999999999999</v>
      </c>
      <c r="D10" s="12">
        <v>0.20710000000000001</v>
      </c>
      <c r="E10" s="12">
        <v>0.20319999999999999</v>
      </c>
      <c r="F10" s="12">
        <v>0.2041</v>
      </c>
      <c r="G10" s="12">
        <v>0.20480000000000001</v>
      </c>
      <c r="H10" s="12">
        <v>0.1978</v>
      </c>
      <c r="I10" s="12">
        <v>0.191</v>
      </c>
      <c r="J10" s="12">
        <v>0.19089999999999999</v>
      </c>
      <c r="K10" s="12">
        <v>0.18820000000000001</v>
      </c>
      <c r="L10" s="12">
        <v>0.18240000000000001</v>
      </c>
    </row>
    <row r="11" spans="1:12" s="5" customFormat="1" x14ac:dyDescent="0.25">
      <c r="A11" s="11" t="s">
        <v>14</v>
      </c>
      <c r="B11" s="15" t="s">
        <v>17</v>
      </c>
      <c r="C11" s="12">
        <v>1.016</v>
      </c>
      <c r="D11" s="12">
        <v>1.0386</v>
      </c>
      <c r="E11" s="12">
        <v>1.0884</v>
      </c>
      <c r="F11" s="12">
        <v>1.1175999999999999</v>
      </c>
      <c r="G11" s="12">
        <v>1.1318999999999999</v>
      </c>
      <c r="H11" s="12">
        <v>1.2275</v>
      </c>
      <c r="I11" s="12">
        <v>1.2554000000000001</v>
      </c>
      <c r="J11" s="12">
        <v>1.2163999999999999</v>
      </c>
      <c r="K11" s="12">
        <v>1.2274</v>
      </c>
      <c r="L11" s="12">
        <v>1.2508999999999999</v>
      </c>
    </row>
    <row r="13" spans="1:12" x14ac:dyDescent="0.25">
      <c r="A13" s="3" t="s">
        <v>35</v>
      </c>
      <c r="B13" s="86" t="s">
        <v>36</v>
      </c>
    </row>
    <row r="14" spans="1:12" x14ac:dyDescent="0.25">
      <c r="B14" t="s">
        <v>37</v>
      </c>
    </row>
    <row r="15" spans="1:12" x14ac:dyDescent="0.25">
      <c r="B15" t="s">
        <v>38</v>
      </c>
    </row>
    <row r="18" spans="1:12" s="5" customFormat="1" x14ac:dyDescent="0.25">
      <c r="A18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s="5" customFormat="1" x14ac:dyDescent="0.25">
      <c r="A19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</sheetData>
  <hyperlinks>
    <hyperlink ref="B13" r:id="rId1" xr:uid="{FA3130F1-75E0-40D5-B4B0-D421FE4DD364}"/>
  </hyperlinks>
  <pageMargins left="0.7" right="0.7" top="0.75" bottom="0.75" header="0.3" footer="0.3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11F92-5F66-4CAE-8EE6-29B22E4AA79B}">
  <dimension ref="A1:Y20"/>
  <sheetViews>
    <sheetView workbookViewId="0">
      <selection activeCell="N5" sqref="N5"/>
    </sheetView>
  </sheetViews>
  <sheetFormatPr defaultRowHeight="15" x14ac:dyDescent="0.25"/>
  <cols>
    <col min="1" max="1" width="9.140625" style="5"/>
    <col min="2" max="2" width="26" bestFit="1" customWidth="1"/>
    <col min="14" max="14" width="9" customWidth="1"/>
    <col min="15" max="17" width="9.7109375" bestFit="1" customWidth="1"/>
    <col min="18" max="19" width="9" customWidth="1"/>
    <col min="20" max="22" width="9.7109375" bestFit="1" customWidth="1"/>
    <col min="23" max="23" width="9.7109375" customWidth="1"/>
    <col min="24" max="25" width="9" customWidth="1"/>
    <col min="26" max="33" width="12.85546875" bestFit="1" customWidth="1"/>
  </cols>
  <sheetData>
    <row r="1" spans="1:25" x14ac:dyDescent="0.25">
      <c r="A1" s="5" t="s">
        <v>41</v>
      </c>
      <c r="C1" s="16">
        <v>2024</v>
      </c>
      <c r="D1" s="17">
        <v>2023</v>
      </c>
      <c r="E1" s="17">
        <v>2022</v>
      </c>
      <c r="F1" s="17">
        <v>2021</v>
      </c>
      <c r="G1" s="17">
        <v>2020</v>
      </c>
      <c r="H1" s="17">
        <v>2019</v>
      </c>
      <c r="I1" s="17">
        <v>2018</v>
      </c>
      <c r="J1" s="17">
        <v>2017</v>
      </c>
      <c r="K1" s="17">
        <v>2016</v>
      </c>
      <c r="L1" s="18">
        <v>2015</v>
      </c>
      <c r="N1" s="16" t="s">
        <v>64</v>
      </c>
      <c r="O1" s="78" t="s">
        <v>68</v>
      </c>
      <c r="P1" s="70" t="s">
        <v>69</v>
      </c>
      <c r="Q1" s="70" t="s">
        <v>70</v>
      </c>
      <c r="R1" s="76"/>
      <c r="S1" s="18" t="s">
        <v>65</v>
      </c>
      <c r="T1" s="70" t="s">
        <v>68</v>
      </c>
      <c r="U1" s="70" t="s">
        <v>69</v>
      </c>
      <c r="V1" s="16" t="s">
        <v>70</v>
      </c>
      <c r="W1" s="76"/>
      <c r="X1" s="18" t="s">
        <v>66</v>
      </c>
      <c r="Y1" s="70" t="s">
        <v>67</v>
      </c>
    </row>
    <row r="2" spans="1:25" x14ac:dyDescent="0.25">
      <c r="B2" s="53" t="s">
        <v>42</v>
      </c>
      <c r="C2" s="41">
        <v>0.21018290582131449</v>
      </c>
      <c r="D2" s="36">
        <v>0.22100067085198202</v>
      </c>
      <c r="E2" s="36">
        <v>0.17835380903419065</v>
      </c>
      <c r="F2" s="36">
        <v>0.16362867603233178</v>
      </c>
      <c r="G2" s="36">
        <v>0.12229180264805023</v>
      </c>
      <c r="H2" s="36">
        <v>0.18288927450412171</v>
      </c>
      <c r="I2" s="36">
        <v>0.17810404471118552</v>
      </c>
      <c r="J2" s="36">
        <v>0.1732088253137852</v>
      </c>
      <c r="K2" s="36">
        <v>0.14160841868158941</v>
      </c>
      <c r="L2" s="37">
        <v>9.7470208542230874E-2</v>
      </c>
      <c r="N2" s="74">
        <f>AVERAGE(C2:L2)</f>
        <v>0.16687386361407816</v>
      </c>
      <c r="O2" s="79">
        <f>AVERAGE(H2:L2)</f>
        <v>0.15465615435058255</v>
      </c>
      <c r="P2" s="69">
        <f>AVERAGE(F2:G2)</f>
        <v>0.142960239340191</v>
      </c>
      <c r="Q2" s="69">
        <f>AVERAGE(C2:E2)</f>
        <v>0.2031791285691624</v>
      </c>
      <c r="R2" s="68"/>
      <c r="S2" s="75">
        <f>_xlfn.STDEV.P(C2:L2)</f>
        <v>3.5795554313492108E-2</v>
      </c>
      <c r="T2" s="75">
        <f>_xlfn.STDEV.P(H2:L2)</f>
        <v>3.2036198400932477E-2</v>
      </c>
      <c r="U2" s="75">
        <f>_xlfn.STDEV.P(F2:G2)</f>
        <v>2.0668436692140805E-2</v>
      </c>
      <c r="V2" s="75">
        <f>_xlfn.STDEV.P(C2:E2)</f>
        <v>1.8101167136859258E-2</v>
      </c>
      <c r="W2" s="68"/>
      <c r="X2" s="77">
        <f>MIN(C2:L2)</f>
        <v>9.7470208542230874E-2</v>
      </c>
      <c r="Y2" s="69">
        <f>MAX(C2:L2)</f>
        <v>0.22100067085198202</v>
      </c>
    </row>
    <row r="3" spans="1:25" x14ac:dyDescent="0.25">
      <c r="B3" s="26" t="s">
        <v>43</v>
      </c>
      <c r="C3" s="42">
        <v>0.17765896505632997</v>
      </c>
      <c r="D3" s="38">
        <v>0.12165299489243152</v>
      </c>
      <c r="E3" s="38">
        <v>9.275492200408883E-2</v>
      </c>
      <c r="F3" s="38">
        <v>0.12930782903987478</v>
      </c>
      <c r="G3" s="38">
        <v>-6.4067550299416201E-2</v>
      </c>
      <c r="H3" s="38">
        <v>9.6950310260233777E-2</v>
      </c>
      <c r="I3" s="38">
        <v>9.5675302421932937E-2</v>
      </c>
      <c r="J3" s="38">
        <v>8.5613415710503085E-2</v>
      </c>
      <c r="K3" s="38">
        <v>8.8243421658632443E-2</v>
      </c>
      <c r="L3" s="39">
        <v>8.6238228977366591E-2</v>
      </c>
      <c r="N3" s="74">
        <f t="shared" ref="N3:N20" si="0">AVERAGE(C3:L3)</f>
        <v>9.100278397219777E-2</v>
      </c>
      <c r="O3" s="79">
        <f t="shared" ref="O3:O20" si="1">AVERAGE(H3:L3)</f>
        <v>9.0544135805733755E-2</v>
      </c>
      <c r="P3" s="69">
        <f t="shared" ref="P3:P20" si="2">AVERAGE(F3:G3)</f>
        <v>3.2620139370229291E-2</v>
      </c>
      <c r="Q3" s="69">
        <f t="shared" ref="Q3:Q20" si="3">AVERAGE(C3:E3)</f>
        <v>0.13068896065095012</v>
      </c>
      <c r="R3" s="68"/>
      <c r="S3" s="75">
        <f>_xlfn.STDEV.P(C3:L3)</f>
        <v>5.8380176463005695E-2</v>
      </c>
      <c r="T3" s="75">
        <f t="shared" ref="T3:T20" si="4">_xlfn.STDEV.P(H3:L3)</f>
        <v>4.8065385017379862E-3</v>
      </c>
      <c r="U3" s="75">
        <f t="shared" ref="U3:U20" si="5">_xlfn.STDEV.P(F3:G3)</f>
        <v>9.6687689669645499E-2</v>
      </c>
      <c r="V3" s="75">
        <f t="shared" ref="V3:V20" si="6">_xlfn.STDEV.P(C3:E3)</f>
        <v>3.5245904154913632E-2</v>
      </c>
      <c r="W3" s="68"/>
      <c r="X3" s="77">
        <f>MIN(C3:L3)</f>
        <v>-6.4067550299416201E-2</v>
      </c>
      <c r="Y3" s="69">
        <f>MAX(C3:L3)</f>
        <v>0.17765896505632997</v>
      </c>
    </row>
    <row r="4" spans="1:25" x14ac:dyDescent="0.25">
      <c r="B4" s="26" t="s">
        <v>44</v>
      </c>
      <c r="C4" s="42">
        <v>0.12822179608021581</v>
      </c>
      <c r="D4" s="38">
        <v>0.13756929338292051</v>
      </c>
      <c r="E4" s="38">
        <v>0.10535467298952776</v>
      </c>
      <c r="F4" s="38">
        <v>0.10241568494024582</v>
      </c>
      <c r="G4" s="38">
        <v>4.5760821062025885E-2</v>
      </c>
      <c r="H4" s="38">
        <v>9.3329100942520879E-2</v>
      </c>
      <c r="I4" s="38">
        <v>0.11460771636016746</v>
      </c>
      <c r="J4" s="38">
        <v>9.1193514873140855E-2</v>
      </c>
      <c r="K4" s="38">
        <v>9.2564570533670648E-2</v>
      </c>
      <c r="L4" s="39">
        <v>8.6117241845073272E-2</v>
      </c>
      <c r="N4" s="74">
        <f t="shared" si="0"/>
        <v>9.9713441300950889E-2</v>
      </c>
      <c r="O4" s="79">
        <f t="shared" si="1"/>
        <v>9.5562428910914626E-2</v>
      </c>
      <c r="P4" s="69">
        <f t="shared" si="2"/>
        <v>7.4088253001135848E-2</v>
      </c>
      <c r="Q4" s="69">
        <f t="shared" si="3"/>
        <v>0.12371525415088803</v>
      </c>
      <c r="R4" s="68"/>
      <c r="S4" s="75">
        <f>_xlfn.STDEV.P(C4:L4)</f>
        <v>2.4014483225642914E-2</v>
      </c>
      <c r="T4" s="75">
        <f t="shared" si="4"/>
        <v>9.8488258312073237E-3</v>
      </c>
      <c r="U4" s="75">
        <f t="shared" si="5"/>
        <v>2.8327431939109974E-2</v>
      </c>
      <c r="V4" s="75">
        <f t="shared" si="6"/>
        <v>1.3532113210019766E-2</v>
      </c>
      <c r="W4" s="68"/>
      <c r="X4" s="77">
        <f>MIN(C4:L4)</f>
        <v>4.5760821062025885E-2</v>
      </c>
      <c r="Y4" s="69">
        <f>MAX(C4:L4)</f>
        <v>0.13756929338292051</v>
      </c>
    </row>
    <row r="5" spans="1:25" x14ac:dyDescent="0.25">
      <c r="B5" s="26" t="s">
        <v>45</v>
      </c>
      <c r="C5" s="42">
        <v>6.6764995083579151E-2</v>
      </c>
      <c r="D5" s="38">
        <v>0.12988059851881706</v>
      </c>
      <c r="E5" s="38">
        <v>0.20235557450437008</v>
      </c>
      <c r="F5" s="38">
        <v>9.7447495961227787E-2</v>
      </c>
      <c r="G5" s="38">
        <v>6.3689809630459129E-2</v>
      </c>
      <c r="H5" s="38">
        <v>9.9164547766073377E-2</v>
      </c>
      <c r="I5" s="38">
        <v>0.11262386208007734</v>
      </c>
      <c r="J5" s="38">
        <v>0.11084423094030781</v>
      </c>
      <c r="K5" s="38">
        <v>6.2175043327556329E-2</v>
      </c>
      <c r="L5" s="39">
        <v>5.117045053523115E-2</v>
      </c>
      <c r="N5" s="74">
        <f t="shared" si="0"/>
        <v>9.9611660834769924E-2</v>
      </c>
      <c r="O5" s="79">
        <f t="shared" si="1"/>
        <v>8.719562692984921E-2</v>
      </c>
      <c r="P5" s="69">
        <f t="shared" si="2"/>
        <v>8.0568652795843465E-2</v>
      </c>
      <c r="Q5" s="69">
        <f t="shared" si="3"/>
        <v>0.13300038936892208</v>
      </c>
      <c r="R5" s="68"/>
      <c r="S5" s="75">
        <f>_xlfn.STDEV.P(C5:L5)</f>
        <v>4.2296839063182816E-2</v>
      </c>
      <c r="T5" s="75">
        <f t="shared" si="4"/>
        <v>2.5584955026519963E-2</v>
      </c>
      <c r="U5" s="75">
        <f t="shared" si="5"/>
        <v>1.6878843165384291E-2</v>
      </c>
      <c r="V5" s="75">
        <f t="shared" si="6"/>
        <v>5.5398562725806968E-2</v>
      </c>
      <c r="W5" s="68"/>
      <c r="X5" s="77">
        <f>MIN(C5:L5)</f>
        <v>5.117045053523115E-2</v>
      </c>
      <c r="Y5" s="69">
        <f>MAX(C5:L5)</f>
        <v>0.20235557450437008</v>
      </c>
    </row>
    <row r="6" spans="1:25" x14ac:dyDescent="0.25">
      <c r="B6" s="2" t="s">
        <v>46</v>
      </c>
      <c r="C6" s="43">
        <v>0.107</v>
      </c>
      <c r="D6" s="44">
        <v>0.10299999999999999</v>
      </c>
      <c r="E6" s="44">
        <v>7.2300000000000003E-2</v>
      </c>
      <c r="F6" s="44">
        <v>7.3800000000000004E-2</v>
      </c>
      <c r="G6" s="44">
        <v>2.8899999999999999E-2</v>
      </c>
      <c r="H6" s="44">
        <v>6.5100000000000005E-2</v>
      </c>
      <c r="I6" s="44">
        <v>7.8100000000000003E-2</v>
      </c>
      <c r="J6" s="44">
        <v>7.6899999999999996E-2</v>
      </c>
      <c r="K6" s="44">
        <v>6.9900000000000004E-2</v>
      </c>
      <c r="L6" s="45">
        <v>6.8500000000000005E-2</v>
      </c>
      <c r="N6" s="74">
        <f t="shared" si="0"/>
        <v>7.4349999999999999E-2</v>
      </c>
      <c r="O6" s="79">
        <f t="shared" si="1"/>
        <v>7.17E-2</v>
      </c>
      <c r="P6" s="69">
        <f t="shared" si="2"/>
        <v>5.135E-2</v>
      </c>
      <c r="Q6" s="69">
        <f t="shared" si="3"/>
        <v>9.4100000000000003E-2</v>
      </c>
      <c r="R6" s="68"/>
      <c r="S6" s="75">
        <f>_xlfn.STDEV.P(C6:L6)</f>
        <v>2.0290896973766397E-2</v>
      </c>
      <c r="T6" s="75">
        <f t="shared" si="4"/>
        <v>5.0007999360102357E-3</v>
      </c>
      <c r="U6" s="75">
        <f t="shared" si="5"/>
        <v>2.2450000000000012E-2</v>
      </c>
      <c r="V6" s="75">
        <f t="shared" si="6"/>
        <v>1.5501182750573142E-2</v>
      </c>
      <c r="W6" s="68"/>
      <c r="X6" s="77">
        <f>MIN(C6:L6)</f>
        <v>2.8899999999999999E-2</v>
      </c>
      <c r="Y6" s="69">
        <f>MAX(C6:L6)</f>
        <v>0.107</v>
      </c>
    </row>
    <row r="7" spans="1:25" x14ac:dyDescent="0.25">
      <c r="N7" s="68"/>
      <c r="O7" s="79"/>
      <c r="P7" s="69"/>
      <c r="Q7" s="69"/>
      <c r="R7" s="68"/>
      <c r="S7" s="72"/>
      <c r="T7" s="75"/>
      <c r="U7" s="75"/>
      <c r="V7" s="75"/>
      <c r="W7" s="68"/>
      <c r="X7" s="68"/>
      <c r="Y7" s="68"/>
    </row>
    <row r="8" spans="1:25" x14ac:dyDescent="0.25">
      <c r="A8" s="5" t="s">
        <v>47</v>
      </c>
      <c r="C8" s="16">
        <v>2024</v>
      </c>
      <c r="D8" s="17">
        <v>2023</v>
      </c>
      <c r="E8" s="17">
        <v>2022</v>
      </c>
      <c r="F8" s="17">
        <v>2021</v>
      </c>
      <c r="G8" s="17">
        <v>2020</v>
      </c>
      <c r="H8" s="17">
        <v>2019</v>
      </c>
      <c r="I8" s="17">
        <v>2018</v>
      </c>
      <c r="J8" s="17">
        <v>2017</v>
      </c>
      <c r="K8" s="17">
        <v>2016</v>
      </c>
      <c r="L8" s="18">
        <v>2015</v>
      </c>
      <c r="N8" s="68"/>
      <c r="O8" s="79"/>
      <c r="P8" s="69"/>
      <c r="Q8" s="69"/>
      <c r="R8" s="68"/>
      <c r="S8" s="72"/>
      <c r="T8" s="75"/>
      <c r="U8" s="75"/>
      <c r="V8" s="75"/>
      <c r="W8" s="68"/>
      <c r="X8" s="68"/>
      <c r="Y8" s="68"/>
    </row>
    <row r="9" spans="1:25" x14ac:dyDescent="0.25">
      <c r="B9" s="53" t="s">
        <v>42</v>
      </c>
      <c r="C9" s="41">
        <v>2.4784905859924225E-2</v>
      </c>
      <c r="D9" s="36">
        <v>2.2847047641322418E-2</v>
      </c>
      <c r="E9" s="36">
        <v>1.806313884711749E-2</v>
      </c>
      <c r="F9" s="36">
        <v>1.8034155078737336E-2</v>
      </c>
      <c r="G9" s="36">
        <v>1.3295771084487592E-2</v>
      </c>
      <c r="H9" s="36">
        <v>2.0825805208856657E-2</v>
      </c>
      <c r="I9" s="36">
        <v>2.2298051964430039E-2</v>
      </c>
      <c r="J9" s="36">
        <v>2.1536549633562059E-2</v>
      </c>
      <c r="K9" s="36">
        <v>1.7947654933191875E-2</v>
      </c>
      <c r="L9" s="37">
        <v>1.1218089854432118E-2</v>
      </c>
      <c r="N9" s="74">
        <f t="shared" si="0"/>
        <v>1.9085117010606181E-2</v>
      </c>
      <c r="O9" s="79">
        <f t="shared" si="1"/>
        <v>1.876523031889455E-2</v>
      </c>
      <c r="P9" s="69">
        <f t="shared" si="2"/>
        <v>1.5664963081612464E-2</v>
      </c>
      <c r="Q9" s="69">
        <f t="shared" si="3"/>
        <v>2.189836411612138E-2</v>
      </c>
      <c r="R9" s="68"/>
      <c r="S9" s="75">
        <f>_xlfn.STDEV.P(C9:L9)</f>
        <v>4.0601921897582913E-3</v>
      </c>
      <c r="T9" s="75">
        <f t="shared" si="4"/>
        <v>4.0505497676683027E-3</v>
      </c>
      <c r="U9" s="75">
        <f t="shared" si="5"/>
        <v>2.3691919971248719E-3</v>
      </c>
      <c r="V9" s="75">
        <f t="shared" si="6"/>
        <v>2.8249528924514946E-3</v>
      </c>
      <c r="W9" s="68"/>
      <c r="X9" s="77">
        <f>MIN(C9:L9)</f>
        <v>1.1218089854432118E-2</v>
      </c>
      <c r="Y9" s="69">
        <f>MAX(C9:L9)</f>
        <v>2.4784905859924225E-2</v>
      </c>
    </row>
    <row r="10" spans="1:25" x14ac:dyDescent="0.25">
      <c r="B10" s="26" t="s">
        <v>43</v>
      </c>
      <c r="C10" s="46">
        <v>1.7714312913513258E-2</v>
      </c>
      <c r="D10" s="47">
        <v>1.1106423436935419E-2</v>
      </c>
      <c r="E10" s="47">
        <v>7.9272948345727717E-3</v>
      </c>
      <c r="F10" s="47">
        <v>1.1657888568380669E-2</v>
      </c>
      <c r="G10" s="47">
        <v>-6.7831051076224381E-3</v>
      </c>
      <c r="H10" s="47">
        <v>1.15867627487446E-2</v>
      </c>
      <c r="I10" s="47">
        <v>1.1537216079937086E-2</v>
      </c>
      <c r="J10" s="47">
        <v>1.0454276014441989E-2</v>
      </c>
      <c r="K10" s="47">
        <v>1.0063976636446722E-2</v>
      </c>
      <c r="L10" s="48">
        <v>9.7774780849629126E-3</v>
      </c>
      <c r="N10" s="74">
        <f t="shared" si="0"/>
        <v>9.5042524210312996E-3</v>
      </c>
      <c r="O10" s="79">
        <f t="shared" si="1"/>
        <v>1.0683941912906662E-2</v>
      </c>
      <c r="P10" s="69">
        <f t="shared" si="2"/>
        <v>2.4373917303791154E-3</v>
      </c>
      <c r="Q10" s="69">
        <f t="shared" si="3"/>
        <v>1.2249343728340483E-2</v>
      </c>
      <c r="R10" s="68"/>
      <c r="S10" s="75">
        <f>_xlfn.STDEV.P(C10:L10)</f>
        <v>5.934098779069346E-3</v>
      </c>
      <c r="T10" s="75">
        <f t="shared" si="4"/>
        <v>7.4859098392228147E-4</v>
      </c>
      <c r="U10" s="75">
        <f t="shared" si="5"/>
        <v>9.2204968380015535E-3</v>
      </c>
      <c r="V10" s="75">
        <f t="shared" si="6"/>
        <v>4.0764470489022707E-3</v>
      </c>
      <c r="W10" s="68"/>
      <c r="X10" s="77">
        <f>MIN(C10:L10)</f>
        <v>-6.7831051076224381E-3</v>
      </c>
      <c r="Y10" s="69">
        <f>MAX(C10:L10)</f>
        <v>1.7714312913513258E-2</v>
      </c>
    </row>
    <row r="11" spans="1:25" x14ac:dyDescent="0.25">
      <c r="B11" s="26" t="s">
        <v>44</v>
      </c>
      <c r="C11" s="42">
        <v>1.1152384829364271E-2</v>
      </c>
      <c r="D11" s="38">
        <v>1.1629665880678026E-2</v>
      </c>
      <c r="E11" s="38">
        <v>8.2318249888070644E-3</v>
      </c>
      <c r="F11" s="38">
        <v>7.8330535930364181E-3</v>
      </c>
      <c r="G11" s="38">
        <v>3.6969076476059326E-3</v>
      </c>
      <c r="H11" s="38">
        <v>7.7784063852042989E-3</v>
      </c>
      <c r="I11" s="38">
        <v>9.1326269468563117E-3</v>
      </c>
      <c r="J11" s="38">
        <v>7.5580284511395411E-3</v>
      </c>
      <c r="K11" s="38">
        <v>7.3802004543118815E-3</v>
      </c>
      <c r="L11" s="39">
        <v>6.3838933028942182E-3</v>
      </c>
      <c r="N11" s="74">
        <f t="shared" si="0"/>
        <v>8.0776992479897978E-3</v>
      </c>
      <c r="O11" s="79">
        <f t="shared" si="1"/>
        <v>7.6466311080812506E-3</v>
      </c>
      <c r="P11" s="69">
        <f t="shared" si="2"/>
        <v>5.7649806203211758E-3</v>
      </c>
      <c r="Q11" s="69">
        <f t="shared" si="3"/>
        <v>1.0337958566283121E-2</v>
      </c>
      <c r="R11" s="68"/>
      <c r="S11" s="75">
        <f>_xlfn.STDEV.P(C11:L11)</f>
        <v>2.1487924334839532E-3</v>
      </c>
      <c r="T11" s="75">
        <f t="shared" si="4"/>
        <v>8.8305049065739386E-4</v>
      </c>
      <c r="U11" s="75">
        <f t="shared" si="5"/>
        <v>2.0680729727152428E-3</v>
      </c>
      <c r="V11" s="75">
        <f t="shared" si="6"/>
        <v>1.5019539018924334E-3</v>
      </c>
      <c r="W11" s="68"/>
      <c r="X11" s="77">
        <f>MIN(C11:L11)</f>
        <v>3.6969076476059326E-3</v>
      </c>
      <c r="Y11" s="69">
        <f>MAX(C11:L11)</f>
        <v>1.1629665880678026E-2</v>
      </c>
    </row>
    <row r="12" spans="1:25" x14ac:dyDescent="0.25">
      <c r="B12" s="26" t="s">
        <v>45</v>
      </c>
      <c r="C12" s="42">
        <v>6.7950623214294648E-3</v>
      </c>
      <c r="D12" s="38">
        <v>1.3004373464621344E-2</v>
      </c>
      <c r="E12" s="38">
        <v>1.833794558986173E-2</v>
      </c>
      <c r="F12" s="38">
        <v>7.8500372200040608E-3</v>
      </c>
      <c r="G12" s="38">
        <v>5.4832820154375479E-3</v>
      </c>
      <c r="H12" s="38">
        <v>8.968462549277266E-3</v>
      </c>
      <c r="I12" s="38">
        <v>9.9775184669735582E-3</v>
      </c>
      <c r="J12" s="38">
        <v>9.2196587394373485E-3</v>
      </c>
      <c r="K12" s="38">
        <v>5.1312307802331399E-3</v>
      </c>
      <c r="L12" s="39">
        <v>3.8015503334003337E-3</v>
      </c>
      <c r="N12" s="74">
        <f t="shared" si="0"/>
        <v>8.8569121480675788E-3</v>
      </c>
      <c r="O12" s="79">
        <f t="shared" si="1"/>
        <v>7.4196841738643302E-3</v>
      </c>
      <c r="P12" s="69">
        <f t="shared" si="2"/>
        <v>6.6666596177208043E-3</v>
      </c>
      <c r="Q12" s="69">
        <f t="shared" si="3"/>
        <v>1.2712460458637512E-2</v>
      </c>
      <c r="R12" s="68"/>
      <c r="S12" s="75">
        <f>_xlfn.STDEV.P(C12:L12)</f>
        <v>4.0567844955364052E-3</v>
      </c>
      <c r="T12" s="75">
        <f t="shared" si="4"/>
        <v>2.4701842273885141E-3</v>
      </c>
      <c r="U12" s="75">
        <f t="shared" si="5"/>
        <v>1.1833776022832565E-3</v>
      </c>
      <c r="V12" s="75">
        <f t="shared" si="6"/>
        <v>4.7168809213617938E-3</v>
      </c>
      <c r="W12" s="68"/>
      <c r="X12" s="77">
        <f>MIN(C12:L12)</f>
        <v>3.8015503334003337E-3</v>
      </c>
      <c r="Y12" s="69">
        <f>MAX(C12:L12)</f>
        <v>1.833794558986173E-2</v>
      </c>
    </row>
    <row r="13" spans="1:25" x14ac:dyDescent="0.25">
      <c r="B13" s="2" t="s">
        <v>46</v>
      </c>
      <c r="C13" s="49">
        <v>8.0999999999999996E-3</v>
      </c>
      <c r="D13" s="50">
        <v>7.4999999999999997E-3</v>
      </c>
      <c r="E13" s="50">
        <v>4.7999999999999996E-3</v>
      </c>
      <c r="F13" s="50">
        <v>5.0000000000000001E-3</v>
      </c>
      <c r="G13" s="50">
        <v>1.9E-3</v>
      </c>
      <c r="H13" s="50">
        <v>4.7999999999999996E-3</v>
      </c>
      <c r="I13" s="50">
        <v>5.5999999999999999E-3</v>
      </c>
      <c r="J13" s="50">
        <v>5.4000000000000003E-3</v>
      </c>
      <c r="K13" s="50">
        <v>4.7000000000000002E-3</v>
      </c>
      <c r="L13" s="51">
        <v>4.5999999999999999E-3</v>
      </c>
      <c r="N13" s="74">
        <f t="shared" si="0"/>
        <v>5.2399999999999999E-3</v>
      </c>
      <c r="O13" s="79">
        <f t="shared" si="1"/>
        <v>5.0200000000000002E-3</v>
      </c>
      <c r="P13" s="69">
        <f t="shared" si="2"/>
        <v>3.4499999999999999E-3</v>
      </c>
      <c r="Q13" s="69">
        <f t="shared" si="3"/>
        <v>6.7999999999999996E-3</v>
      </c>
      <c r="R13" s="68"/>
      <c r="S13" s="75">
        <f>_xlfn.STDEV.P(C13:L13)</f>
        <v>1.6044936896105263E-3</v>
      </c>
      <c r="T13" s="75">
        <f t="shared" si="4"/>
        <v>4.019950248448357E-4</v>
      </c>
      <c r="U13" s="75">
        <f t="shared" si="5"/>
        <v>1.5500000000000002E-3</v>
      </c>
      <c r="V13" s="75">
        <f t="shared" si="6"/>
        <v>1.4352700094407325E-3</v>
      </c>
      <c r="W13" s="68"/>
      <c r="X13" s="77">
        <f>MIN(C13:L13)</f>
        <v>1.9E-3</v>
      </c>
      <c r="Y13" s="69">
        <f>MAX(C13:L13)</f>
        <v>8.0999999999999996E-3</v>
      </c>
    </row>
    <row r="14" spans="1:25" x14ac:dyDescent="0.25">
      <c r="N14" s="68"/>
      <c r="O14" s="79"/>
      <c r="P14" s="69"/>
      <c r="Q14" s="69"/>
      <c r="R14" s="68"/>
      <c r="S14" s="72"/>
      <c r="T14" s="75"/>
      <c r="U14" s="75"/>
      <c r="V14" s="75"/>
      <c r="W14" s="68"/>
      <c r="X14" s="68"/>
      <c r="Y14" s="68"/>
    </row>
    <row r="15" spans="1:25" x14ac:dyDescent="0.25">
      <c r="A15" s="5" t="s">
        <v>48</v>
      </c>
      <c r="C15" s="16">
        <v>2024</v>
      </c>
      <c r="D15" s="17">
        <v>2023</v>
      </c>
      <c r="E15" s="17">
        <v>2022</v>
      </c>
      <c r="F15" s="17">
        <v>2021</v>
      </c>
      <c r="G15" s="17">
        <v>2020</v>
      </c>
      <c r="H15" s="17">
        <v>2019</v>
      </c>
      <c r="I15" s="17">
        <v>2018</v>
      </c>
      <c r="J15" s="17">
        <v>2017</v>
      </c>
      <c r="K15" s="17">
        <v>2016</v>
      </c>
      <c r="L15" s="18">
        <v>2015</v>
      </c>
      <c r="N15" s="68"/>
      <c r="O15" s="79"/>
      <c r="P15" s="69"/>
      <c r="Q15" s="69"/>
      <c r="R15" s="68"/>
      <c r="S15" s="72"/>
      <c r="T15" s="75"/>
      <c r="U15" s="75"/>
      <c r="V15" s="75"/>
      <c r="W15" s="68"/>
      <c r="X15" s="68"/>
      <c r="Y15" s="68"/>
    </row>
    <row r="16" spans="1:25" x14ac:dyDescent="0.25">
      <c r="B16" s="53" t="s">
        <v>42</v>
      </c>
      <c r="C16" s="41">
        <v>4.2799999999999998E-2</v>
      </c>
      <c r="D16" s="36">
        <v>3.9300000000000002E-2</v>
      </c>
      <c r="E16" s="36">
        <v>3.5099999999999999E-2</v>
      </c>
      <c r="F16" s="36">
        <v>3.5099999999999999E-2</v>
      </c>
      <c r="G16" s="36">
        <v>3.61E-2</v>
      </c>
      <c r="H16" s="36">
        <v>4.1200000000000001E-2</v>
      </c>
      <c r="I16" s="36">
        <v>4.2999999999999997E-2</v>
      </c>
      <c r="J16" s="36">
        <v>4.5600000000000002E-2</v>
      </c>
      <c r="K16" s="36">
        <v>4.82E-2</v>
      </c>
      <c r="L16" s="37">
        <v>5.11E-2</v>
      </c>
      <c r="N16" s="74">
        <f t="shared" si="0"/>
        <v>4.1749999999999995E-2</v>
      </c>
      <c r="O16" s="79">
        <f t="shared" si="1"/>
        <v>4.582E-2</v>
      </c>
      <c r="P16" s="69">
        <f t="shared" si="2"/>
        <v>3.56E-2</v>
      </c>
      <c r="Q16" s="69">
        <f t="shared" si="3"/>
        <v>3.9066666666666666E-2</v>
      </c>
      <c r="R16" s="68"/>
      <c r="S16" s="75">
        <f>_xlfn.STDEV.P(C16:L16)</f>
        <v>5.2267102464169561E-3</v>
      </c>
      <c r="T16" s="75">
        <f t="shared" si="4"/>
        <v>3.5464912237308586E-3</v>
      </c>
      <c r="U16" s="75">
        <f t="shared" si="5"/>
        <v>5.0000000000000044E-4</v>
      </c>
      <c r="V16" s="75">
        <f t="shared" si="6"/>
        <v>3.1478387647541424E-3</v>
      </c>
      <c r="W16" s="68"/>
      <c r="X16" s="77">
        <f>MIN(C16:L16)</f>
        <v>3.5099999999999999E-2</v>
      </c>
      <c r="Y16" s="69">
        <f>MAX(C16:L16)</f>
        <v>5.11E-2</v>
      </c>
    </row>
    <row r="17" spans="2:25" x14ac:dyDescent="0.25">
      <c r="B17" s="26" t="s">
        <v>43</v>
      </c>
      <c r="C17" s="46">
        <v>4.8000000000000001E-2</v>
      </c>
      <c r="D17" s="47">
        <v>4.3999999999999997E-2</v>
      </c>
      <c r="E17" s="47">
        <v>3.7999999999999999E-2</v>
      </c>
      <c r="F17" s="47">
        <v>2.7E-2</v>
      </c>
      <c r="G17" s="47">
        <v>0.03</v>
      </c>
      <c r="H17" s="47">
        <v>3.4000000000000002E-2</v>
      </c>
      <c r="I17" s="47">
        <v>3.4000000000000002E-2</v>
      </c>
      <c r="J17" s="47">
        <v>3.3000000000000002E-2</v>
      </c>
      <c r="K17" s="47">
        <v>3.2000000000000001E-2</v>
      </c>
      <c r="L17" s="48">
        <v>0.03</v>
      </c>
      <c r="N17" s="74">
        <f t="shared" si="0"/>
        <v>3.500000000000001E-2</v>
      </c>
      <c r="O17" s="79">
        <f t="shared" si="1"/>
        <v>3.2600000000000004E-2</v>
      </c>
      <c r="P17" s="69">
        <f t="shared" si="2"/>
        <v>2.8499999999999998E-2</v>
      </c>
      <c r="Q17" s="69">
        <f t="shared" si="3"/>
        <v>4.3333333333333335E-2</v>
      </c>
      <c r="R17" s="68"/>
      <c r="S17" s="75">
        <f>_xlfn.STDEV.P(C17:L17)</f>
        <v>6.2289646009589146E-3</v>
      </c>
      <c r="T17" s="75">
        <f t="shared" si="4"/>
        <v>1.4966629547095781E-3</v>
      </c>
      <c r="U17" s="75">
        <f t="shared" si="5"/>
        <v>1.4999999999999996E-3</v>
      </c>
      <c r="V17" s="75">
        <f t="shared" si="6"/>
        <v>4.109609335312652E-3</v>
      </c>
      <c r="W17" s="68"/>
      <c r="X17" s="77">
        <f>MIN(C17:L17)</f>
        <v>2.7E-2</v>
      </c>
      <c r="Y17" s="69">
        <f>MAX(C17:L17)</f>
        <v>4.8000000000000001E-2</v>
      </c>
    </row>
    <row r="18" spans="2:25" x14ac:dyDescent="0.25">
      <c r="B18" s="26" t="s">
        <v>44</v>
      </c>
      <c r="C18" s="46">
        <v>2.46E-2</v>
      </c>
      <c r="D18" s="47">
        <v>2.5000000000000001E-2</v>
      </c>
      <c r="E18" s="47">
        <v>2.2100000000000002E-2</v>
      </c>
      <c r="F18" s="47">
        <v>2.0500000000000001E-2</v>
      </c>
      <c r="G18" s="47">
        <v>2.0799999999999999E-2</v>
      </c>
      <c r="H18" s="47">
        <v>2.18E-2</v>
      </c>
      <c r="I18" s="47">
        <v>2.3E-2</v>
      </c>
      <c r="J18" s="47">
        <v>2.4E-2</v>
      </c>
      <c r="K18" s="47">
        <v>2.5100000000000001E-2</v>
      </c>
      <c r="L18" s="48">
        <v>2.5899999999999999E-2</v>
      </c>
      <c r="N18" s="74">
        <f t="shared" si="0"/>
        <v>2.3280000000000002E-2</v>
      </c>
      <c r="O18" s="79">
        <f t="shared" si="1"/>
        <v>2.3959999999999999E-2</v>
      </c>
      <c r="P18" s="69">
        <f t="shared" si="2"/>
        <v>2.0650000000000002E-2</v>
      </c>
      <c r="Q18" s="69">
        <f t="shared" si="3"/>
        <v>2.3900000000000005E-2</v>
      </c>
      <c r="R18" s="68"/>
      <c r="S18" s="75">
        <f>_xlfn.STDEV.P(C18:L18)</f>
        <v>1.8148278155241066E-3</v>
      </c>
      <c r="T18" s="75">
        <f t="shared" si="4"/>
        <v>1.4595889832415151E-3</v>
      </c>
      <c r="U18" s="75">
        <f t="shared" si="5"/>
        <v>1.4999999999999909E-4</v>
      </c>
      <c r="V18" s="75">
        <f t="shared" si="6"/>
        <v>1.2832251036613436E-3</v>
      </c>
      <c r="W18" s="68"/>
      <c r="X18" s="77">
        <f>MIN(C18:L18)</f>
        <v>2.0500000000000001E-2</v>
      </c>
      <c r="Y18" s="69">
        <f>MAX(C18:L18)</f>
        <v>2.5899999999999999E-2</v>
      </c>
    </row>
    <row r="19" spans="2:25" ht="14.25" customHeight="1" x14ac:dyDescent="0.25">
      <c r="B19" s="26" t="s">
        <v>45</v>
      </c>
      <c r="C19" s="46">
        <v>2.98E-2</v>
      </c>
      <c r="D19" s="47">
        <v>2.86E-2</v>
      </c>
      <c r="E19" s="47">
        <v>2.5899999999999999E-2</v>
      </c>
      <c r="F19" s="47">
        <v>2.01E-2</v>
      </c>
      <c r="G19" s="47">
        <v>2.1299999999999999E-2</v>
      </c>
      <c r="H19" s="47">
        <v>2.4400000000000002E-2</v>
      </c>
      <c r="I19" s="47">
        <v>2.5000000000000001E-2</v>
      </c>
      <c r="J19" s="47">
        <v>2.4799999999999999E-2</v>
      </c>
      <c r="K19" s="47">
        <v>2.7799999999999998E-2</v>
      </c>
      <c r="L19" s="48">
        <v>0.03</v>
      </c>
      <c r="N19" s="74">
        <f t="shared" si="0"/>
        <v>2.5769999999999994E-2</v>
      </c>
      <c r="O19" s="79">
        <f t="shared" si="1"/>
        <v>2.64E-2</v>
      </c>
      <c r="P19" s="69">
        <f t="shared" si="2"/>
        <v>2.07E-2</v>
      </c>
      <c r="Q19" s="69">
        <f t="shared" si="3"/>
        <v>2.81E-2</v>
      </c>
      <c r="R19" s="68"/>
      <c r="S19" s="75">
        <f>_xlfn.STDEV.P(C19:L19)</f>
        <v>3.1909403002876751E-3</v>
      </c>
      <c r="T19" s="75">
        <f t="shared" si="4"/>
        <v>2.1651789764358964E-3</v>
      </c>
      <c r="U19" s="75">
        <f t="shared" si="5"/>
        <v>5.9999999999999984E-4</v>
      </c>
      <c r="V19" s="75">
        <f t="shared" si="6"/>
        <v>1.6309506430300094E-3</v>
      </c>
      <c r="W19" s="68"/>
      <c r="X19" s="77">
        <f>MIN(C19:L19)</f>
        <v>2.01E-2</v>
      </c>
      <c r="Y19" s="69">
        <f>MAX(C19:L19)</f>
        <v>0.03</v>
      </c>
    </row>
    <row r="20" spans="2:25" x14ac:dyDescent="0.25">
      <c r="B20" s="2" t="s">
        <v>46</v>
      </c>
      <c r="C20" s="49">
        <v>1.7600000000000001E-2</v>
      </c>
      <c r="D20" s="50">
        <v>1.7299999999999999E-2</v>
      </c>
      <c r="E20" s="50">
        <v>1.3299999999999999E-2</v>
      </c>
      <c r="F20" s="50">
        <v>1.18E-2</v>
      </c>
      <c r="G20" s="50">
        <v>1.24E-2</v>
      </c>
      <c r="H20" s="50">
        <v>1.44E-2</v>
      </c>
      <c r="I20" s="50">
        <v>1.49E-2</v>
      </c>
      <c r="J20" s="50">
        <v>1.4E-2</v>
      </c>
      <c r="K20" s="50">
        <v>1.47E-2</v>
      </c>
      <c r="L20" s="51">
        <v>1.6E-2</v>
      </c>
      <c r="N20" s="74">
        <f t="shared" si="0"/>
        <v>1.4639999999999997E-2</v>
      </c>
      <c r="O20" s="79">
        <f t="shared" si="1"/>
        <v>1.4799999999999999E-2</v>
      </c>
      <c r="P20" s="69">
        <f t="shared" si="2"/>
        <v>1.21E-2</v>
      </c>
      <c r="Q20" s="69">
        <f t="shared" si="3"/>
        <v>1.6066666666666667E-2</v>
      </c>
      <c r="R20" s="68"/>
      <c r="S20" s="75">
        <f>_xlfn.STDEV.P(C20:L20)</f>
        <v>1.8194504664870656E-3</v>
      </c>
      <c r="T20" s="75">
        <f t="shared" si="4"/>
        <v>6.7230945255886457E-4</v>
      </c>
      <c r="U20" s="75">
        <f t="shared" si="5"/>
        <v>2.9999999999999992E-4</v>
      </c>
      <c r="V20" s="75">
        <f t="shared" si="6"/>
        <v>1.9601587237318878E-3</v>
      </c>
      <c r="W20" s="68"/>
      <c r="X20" s="77">
        <f>MIN(C20:L20)</f>
        <v>1.18E-2</v>
      </c>
      <c r="Y20" s="69">
        <f>MAX(C20:L20)</f>
        <v>1.7600000000000001E-2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85CDC-E50B-40A8-9A38-18A7A46C636A}">
  <dimension ref="A1:Y15"/>
  <sheetViews>
    <sheetView workbookViewId="0">
      <selection activeCell="N9" sqref="N9:Q9"/>
    </sheetView>
  </sheetViews>
  <sheetFormatPr defaultRowHeight="15" x14ac:dyDescent="0.25"/>
  <cols>
    <col min="2" max="2" width="26" bestFit="1" customWidth="1"/>
  </cols>
  <sheetData>
    <row r="1" spans="1:25" x14ac:dyDescent="0.25">
      <c r="A1" s="5" t="s">
        <v>49</v>
      </c>
      <c r="C1" s="16">
        <v>2024</v>
      </c>
      <c r="D1" s="17">
        <v>2023</v>
      </c>
      <c r="E1" s="17">
        <v>2022</v>
      </c>
      <c r="F1" s="17">
        <v>2021</v>
      </c>
      <c r="G1" s="17">
        <v>2020</v>
      </c>
      <c r="H1" s="17">
        <v>2019</v>
      </c>
      <c r="I1" s="17">
        <v>2018</v>
      </c>
      <c r="J1" s="17">
        <v>2017</v>
      </c>
      <c r="K1" s="17">
        <v>2016</v>
      </c>
      <c r="L1" s="18">
        <v>2015</v>
      </c>
      <c r="N1" s="16" t="s">
        <v>64</v>
      </c>
      <c r="O1" s="78" t="s">
        <v>68</v>
      </c>
      <c r="P1" s="70" t="s">
        <v>69</v>
      </c>
      <c r="Q1" s="70" t="s">
        <v>70</v>
      </c>
      <c r="R1" s="76"/>
      <c r="S1" s="18" t="s">
        <v>65</v>
      </c>
      <c r="T1" s="70" t="s">
        <v>68</v>
      </c>
      <c r="U1" s="70" t="s">
        <v>69</v>
      </c>
      <c r="V1" s="16" t="s">
        <v>70</v>
      </c>
      <c r="W1" s="76"/>
      <c r="X1" s="18" t="s">
        <v>66</v>
      </c>
      <c r="Y1" s="70" t="s">
        <v>67</v>
      </c>
    </row>
    <row r="2" spans="1:25" x14ac:dyDescent="0.25">
      <c r="A2" s="5"/>
      <c r="B2" s="53" t="s">
        <v>42</v>
      </c>
      <c r="C2" s="41">
        <v>0.41299999999999998</v>
      </c>
      <c r="D2" s="36">
        <v>0.436</v>
      </c>
      <c r="E2" s="36">
        <v>0.47600000000000003</v>
      </c>
      <c r="F2" s="36">
        <v>0.49700000000000005</v>
      </c>
      <c r="G2" s="36">
        <v>0.54100000000000004</v>
      </c>
      <c r="H2" s="36">
        <v>0.52700000000000002</v>
      </c>
      <c r="I2" s="36">
        <v>0.56299999999999994</v>
      </c>
      <c r="J2" s="36">
        <v>0.54900000000000004</v>
      </c>
      <c r="K2" s="36">
        <v>0.54400000000000004</v>
      </c>
      <c r="L2" s="37">
        <v>0.52</v>
      </c>
      <c r="N2" s="74">
        <f>AVERAGE(C2:L2)</f>
        <v>0.50660000000000005</v>
      </c>
      <c r="O2" s="79">
        <f>AVERAGE(H2:L2)</f>
        <v>0.54059999999999997</v>
      </c>
      <c r="P2" s="69">
        <f>AVERAGE(F2:G2)</f>
        <v>0.51900000000000002</v>
      </c>
      <c r="Q2" s="69">
        <f>AVERAGE(C2:E2)</f>
        <v>0.44166666666666665</v>
      </c>
      <c r="R2" s="68"/>
      <c r="S2" s="75">
        <f>_xlfn.STDEV.P(C2:L2)</f>
        <v>4.7885697238319508E-2</v>
      </c>
      <c r="T2" s="75">
        <f>_xlfn.STDEV.P(H2:L2)</f>
        <v>1.5447977213861996E-2</v>
      </c>
      <c r="U2" s="75">
        <f>_xlfn.STDEV.P(F2:G2)</f>
        <v>2.1999999999999992E-2</v>
      </c>
      <c r="V2" s="75">
        <f>_xlfn.STDEV.P(C2:E2)</f>
        <v>2.6029897340472875E-2</v>
      </c>
      <c r="W2" s="68"/>
      <c r="X2" s="77">
        <f>MIN(C2:L2)</f>
        <v>0.41299999999999998</v>
      </c>
      <c r="Y2" s="69">
        <f>MAX(C2:L2)</f>
        <v>0.56299999999999994</v>
      </c>
    </row>
    <row r="3" spans="1:25" x14ac:dyDescent="0.25">
      <c r="A3" s="5"/>
      <c r="B3" s="26" t="s">
        <v>43</v>
      </c>
      <c r="C3" s="46">
        <v>0.29499999999999998</v>
      </c>
      <c r="D3" s="47">
        <v>0.316</v>
      </c>
      <c r="E3" s="47">
        <v>0.45</v>
      </c>
      <c r="F3" s="47">
        <v>0.40400000000000003</v>
      </c>
      <c r="G3" s="47">
        <v>0.40899999999999997</v>
      </c>
      <c r="H3" s="47">
        <v>0.41299999999999998</v>
      </c>
      <c r="I3" s="47">
        <v>0.442</v>
      </c>
      <c r="J3" s="47">
        <v>0.46</v>
      </c>
      <c r="K3" s="47">
        <v>0.47399999999999998</v>
      </c>
      <c r="L3" s="48">
        <v>0.56599999999999995</v>
      </c>
      <c r="N3" s="74">
        <f t="shared" ref="N3:N13" si="0">AVERAGE(C3:L3)</f>
        <v>0.4229</v>
      </c>
      <c r="O3" s="79">
        <f t="shared" ref="O3:O13" si="1">AVERAGE(H3:L3)</f>
        <v>0.47099999999999997</v>
      </c>
      <c r="P3" s="69">
        <f t="shared" ref="P3:P13" si="2">AVERAGE(F3:G3)</f>
        <v>0.40649999999999997</v>
      </c>
      <c r="Q3" s="69">
        <f t="shared" ref="Q3:Q13" si="3">AVERAGE(C3:E3)</f>
        <v>0.35366666666666663</v>
      </c>
      <c r="R3" s="68"/>
      <c r="S3" s="75">
        <f>_xlfn.STDEV.P(C3:L3)</f>
        <v>7.3483943824484199E-2</v>
      </c>
      <c r="T3" s="75">
        <f t="shared" ref="T3:T13" si="4">_xlfn.STDEV.P(H3:L3)</f>
        <v>5.1691391933279901E-2</v>
      </c>
      <c r="U3" s="75">
        <f t="shared" ref="U3:U13" si="5">_xlfn.STDEV.P(F3:G3)</f>
        <v>2.4999999999999745E-3</v>
      </c>
      <c r="V3" s="75">
        <f t="shared" ref="V3:V13" si="6">_xlfn.STDEV.P(C3:E3)</f>
        <v>6.8655338871463967E-2</v>
      </c>
      <c r="W3" s="68"/>
      <c r="X3" s="77">
        <f>MIN(C3:L3)</f>
        <v>0.29499999999999998</v>
      </c>
      <c r="Y3" s="69">
        <f>MAX(C3:L3)</f>
        <v>0.56599999999999995</v>
      </c>
    </row>
    <row r="4" spans="1:25" x14ac:dyDescent="0.25">
      <c r="A4" s="5"/>
      <c r="B4" s="26" t="s">
        <v>44</v>
      </c>
      <c r="C4" s="46">
        <v>0.47199999999999998</v>
      </c>
      <c r="D4" s="47">
        <v>0.47599999999999998</v>
      </c>
      <c r="E4" s="47">
        <v>0.53400000000000003</v>
      </c>
      <c r="F4" s="47">
        <v>0.55600000000000005</v>
      </c>
      <c r="G4" s="47">
        <v>0.59</v>
      </c>
      <c r="H4" s="47">
        <v>0.59</v>
      </c>
      <c r="I4" s="47">
        <v>0.60499999999999998</v>
      </c>
      <c r="J4" s="47">
        <v>0.624</v>
      </c>
      <c r="K4" s="47">
        <v>0.60199999999999998</v>
      </c>
      <c r="L4" s="48">
        <v>0.57099999999999995</v>
      </c>
      <c r="N4" s="74">
        <f t="shared" si="0"/>
        <v>0.56200000000000006</v>
      </c>
      <c r="O4" s="79">
        <f t="shared" si="1"/>
        <v>0.59840000000000004</v>
      </c>
      <c r="P4" s="69">
        <f t="shared" si="2"/>
        <v>0.57299999999999995</v>
      </c>
      <c r="Q4" s="69">
        <f t="shared" si="3"/>
        <v>0.49399999999999999</v>
      </c>
      <c r="R4" s="68"/>
      <c r="S4" s="75">
        <f>_xlfn.STDEV.P(C4:L4)</f>
        <v>5.0257337772707376E-2</v>
      </c>
      <c r="T4" s="75">
        <f t="shared" si="4"/>
        <v>1.7511139311878039E-2</v>
      </c>
      <c r="U4" s="75">
        <f t="shared" si="5"/>
        <v>1.699999999999996E-2</v>
      </c>
      <c r="V4" s="75">
        <f t="shared" si="6"/>
        <v>2.8331372481167731E-2</v>
      </c>
      <c r="W4" s="68"/>
      <c r="X4" s="77">
        <f>MIN(C4:L4)</f>
        <v>0.47199999999999998</v>
      </c>
      <c r="Y4" s="69">
        <f>MAX(C4:L4)</f>
        <v>0.624</v>
      </c>
    </row>
    <row r="5" spans="1:25" x14ac:dyDescent="0.25">
      <c r="A5" s="5"/>
      <c r="B5" s="26" t="s">
        <v>45</v>
      </c>
      <c r="C5" s="46">
        <v>0.43</v>
      </c>
      <c r="D5" s="47">
        <v>0.43</v>
      </c>
      <c r="E5" s="47">
        <v>0.36199999999999999</v>
      </c>
      <c r="F5" s="47">
        <v>0.53</v>
      </c>
      <c r="G5" s="47">
        <v>0.55400000000000005</v>
      </c>
      <c r="H5" s="47">
        <v>0.55100000000000005</v>
      </c>
      <c r="I5" s="47">
        <v>0.55400000000000005</v>
      </c>
      <c r="J5" s="47">
        <v>0.57099999999999995</v>
      </c>
      <c r="K5" s="47">
        <v>0.60699999999999998</v>
      </c>
      <c r="L5" s="48">
        <v>0.59099999999999997</v>
      </c>
      <c r="N5" s="74">
        <f t="shared" si="0"/>
        <v>0.51800000000000002</v>
      </c>
      <c r="O5" s="79">
        <f t="shared" si="1"/>
        <v>0.57479999999999998</v>
      </c>
      <c r="P5" s="69">
        <f t="shared" si="2"/>
        <v>0.54200000000000004</v>
      </c>
      <c r="Q5" s="69">
        <f t="shared" si="3"/>
        <v>0.40733333333333333</v>
      </c>
      <c r="R5" s="68"/>
      <c r="S5" s="75">
        <f>_xlfn.STDEV.P(C5:L5)</f>
        <v>7.727095185126133E-2</v>
      </c>
      <c r="T5" s="75">
        <f t="shared" si="4"/>
        <v>2.1507208094032074E-2</v>
      </c>
      <c r="U5" s="75">
        <f t="shared" si="5"/>
        <v>1.2000000000000011E-2</v>
      </c>
      <c r="V5" s="75">
        <f t="shared" si="6"/>
        <v>3.2055507413790159E-2</v>
      </c>
      <c r="W5" s="68"/>
      <c r="X5" s="77">
        <f>MIN(C5:L5)</f>
        <v>0.36199999999999999</v>
      </c>
      <c r="Y5" s="69">
        <f>MAX(C5:L5)</f>
        <v>0.60699999999999998</v>
      </c>
    </row>
    <row r="6" spans="1:25" x14ac:dyDescent="0.25">
      <c r="A6" s="5"/>
      <c r="B6" s="52" t="s">
        <v>46</v>
      </c>
      <c r="C6" s="49">
        <v>0.51170000000000004</v>
      </c>
      <c r="D6" s="50">
        <v>0.53500000000000003</v>
      </c>
      <c r="E6" s="50">
        <v>0.5998</v>
      </c>
      <c r="F6" s="50">
        <v>0.61129999999999995</v>
      </c>
      <c r="G6" s="50">
        <v>0.63680000000000003</v>
      </c>
      <c r="H6" s="50">
        <v>0.61170000000000002</v>
      </c>
      <c r="I6" s="50">
        <v>0.61409999999999998</v>
      </c>
      <c r="J6" s="50">
        <v>0.61860000000000004</v>
      </c>
      <c r="K6" s="50">
        <v>0.61319999999999997</v>
      </c>
      <c r="L6" s="51">
        <v>0.60270000000000001</v>
      </c>
      <c r="N6" s="74">
        <f t="shared" si="0"/>
        <v>0.59549000000000007</v>
      </c>
      <c r="O6" s="79">
        <f t="shared" si="1"/>
        <v>0.61206000000000005</v>
      </c>
      <c r="P6" s="69">
        <f t="shared" si="2"/>
        <v>0.62404999999999999</v>
      </c>
      <c r="Q6" s="69">
        <f t="shared" si="3"/>
        <v>0.5488333333333334</v>
      </c>
      <c r="R6" s="68"/>
      <c r="S6" s="75">
        <f>_xlfn.STDEV.P(C6:L6)</f>
        <v>3.7634623686174928E-2</v>
      </c>
      <c r="T6" s="75">
        <f t="shared" si="4"/>
        <v>5.2148250210337851E-3</v>
      </c>
      <c r="U6" s="75">
        <f t="shared" si="5"/>
        <v>1.2750000000000039E-2</v>
      </c>
      <c r="V6" s="75">
        <f t="shared" si="6"/>
        <v>3.7273076371856145E-2</v>
      </c>
      <c r="W6" s="68"/>
      <c r="X6" s="77">
        <f>MIN(C6:L6)</f>
        <v>0.51170000000000004</v>
      </c>
      <c r="Y6" s="69">
        <f>MAX(C6:L6)</f>
        <v>0.63680000000000003</v>
      </c>
    </row>
    <row r="7" spans="1:25" x14ac:dyDescent="0.25">
      <c r="N7" s="68"/>
      <c r="O7" s="79"/>
      <c r="P7" s="69"/>
      <c r="Q7" s="69"/>
      <c r="R7" s="68"/>
      <c r="S7" s="72"/>
      <c r="T7" s="75"/>
      <c r="U7" s="75"/>
      <c r="V7" s="75"/>
      <c r="W7" s="68"/>
      <c r="X7" s="68"/>
      <c r="Y7" s="68"/>
    </row>
    <row r="8" spans="1:25" x14ac:dyDescent="0.25">
      <c r="A8" s="5" t="s">
        <v>50</v>
      </c>
      <c r="C8" s="16">
        <v>2024</v>
      </c>
      <c r="D8" s="17">
        <v>2023</v>
      </c>
      <c r="E8" s="17">
        <v>2022</v>
      </c>
      <c r="F8" s="17">
        <v>2021</v>
      </c>
      <c r="G8" s="17">
        <v>2020</v>
      </c>
      <c r="H8" s="17">
        <v>2019</v>
      </c>
      <c r="I8" s="17">
        <v>2018</v>
      </c>
      <c r="J8" s="17">
        <v>2017</v>
      </c>
      <c r="K8" s="17">
        <v>2016</v>
      </c>
      <c r="L8" s="18">
        <v>2015</v>
      </c>
      <c r="N8" s="68"/>
      <c r="O8" s="79"/>
      <c r="P8" s="69"/>
      <c r="Q8" s="69"/>
      <c r="R8" s="68"/>
      <c r="S8" s="72"/>
      <c r="T8" s="75"/>
      <c r="U8" s="75"/>
      <c r="V8" s="75"/>
      <c r="W8" s="68"/>
      <c r="X8" s="68"/>
      <c r="Y8" s="68"/>
    </row>
    <row r="9" spans="1:25" x14ac:dyDescent="0.25">
      <c r="B9" s="53" t="s">
        <v>42</v>
      </c>
      <c r="C9" s="41">
        <v>3.6449153624039776E-2</v>
      </c>
      <c r="D9" s="36">
        <v>4.3170261031855728E-2</v>
      </c>
      <c r="E9" s="36">
        <v>4.9337752356268694E-2</v>
      </c>
      <c r="F9" s="36">
        <v>5.3116864392780849E-2</v>
      </c>
      <c r="G9" s="36">
        <v>5.759548833843442E-2</v>
      </c>
      <c r="H9" s="36">
        <v>5.1652507441237505E-2</v>
      </c>
      <c r="I9" s="36">
        <v>7.7193696171237502E-2</v>
      </c>
      <c r="J9" s="36">
        <v>9.1760068266616535E-2</v>
      </c>
      <c r="K9" s="36">
        <v>0.13791246383551425</v>
      </c>
      <c r="L9" s="37">
        <v>0.158671930491598</v>
      </c>
      <c r="N9" s="74">
        <f t="shared" si="0"/>
        <v>7.5686018594958326E-2</v>
      </c>
      <c r="O9" s="79">
        <f t="shared" si="1"/>
        <v>0.10343813324124077</v>
      </c>
      <c r="P9" s="69">
        <f t="shared" si="2"/>
        <v>5.5356176365607634E-2</v>
      </c>
      <c r="Q9" s="69">
        <f t="shared" si="3"/>
        <v>4.2985722337388066E-2</v>
      </c>
      <c r="R9" s="68"/>
      <c r="S9" s="75">
        <f>_xlfn.STDEV.P(C9:L9)</f>
        <v>3.9654408438768843E-2</v>
      </c>
      <c r="T9" s="75">
        <f t="shared" si="4"/>
        <v>3.9360260534675583E-2</v>
      </c>
      <c r="U9" s="75">
        <f t="shared" si="5"/>
        <v>2.2393119728267852E-3</v>
      </c>
      <c r="V9" s="75">
        <f t="shared" si="6"/>
        <v>5.2633661736839147E-3</v>
      </c>
      <c r="W9" s="68"/>
      <c r="X9" s="77">
        <f>MIN(C9:L9)</f>
        <v>3.6449153624039776E-2</v>
      </c>
      <c r="Y9" s="69">
        <f>MAX(C9:L9)</f>
        <v>0.158671930491598</v>
      </c>
    </row>
    <row r="10" spans="1:25" x14ac:dyDescent="0.25">
      <c r="B10" s="26" t="s">
        <v>43</v>
      </c>
      <c r="C10" s="46">
        <v>3.5900000000000001E-2</v>
      </c>
      <c r="D10" s="47">
        <v>3.44E-2</v>
      </c>
      <c r="E10" s="47">
        <v>3.7900000000000003E-2</v>
      </c>
      <c r="F10" s="47">
        <v>3.9800000000000002E-2</v>
      </c>
      <c r="G10" s="47">
        <v>4.4299999999999999E-2</v>
      </c>
      <c r="H10" s="47">
        <v>4.2599999999999999E-2</v>
      </c>
      <c r="I10" s="47">
        <v>4.87E-2</v>
      </c>
      <c r="J10" s="47">
        <v>5.5E-2</v>
      </c>
      <c r="K10" s="47">
        <v>5.8999999999999997E-2</v>
      </c>
      <c r="L10" s="48">
        <v>6.6000000000000003E-2</v>
      </c>
      <c r="N10" s="74">
        <f t="shared" si="0"/>
        <v>4.6359999999999998E-2</v>
      </c>
      <c r="O10" s="79">
        <f t="shared" si="1"/>
        <v>5.4259999999999996E-2</v>
      </c>
      <c r="P10" s="69">
        <f t="shared" si="2"/>
        <v>4.2050000000000004E-2</v>
      </c>
      <c r="Q10" s="69">
        <f t="shared" si="3"/>
        <v>3.606666666666667E-2</v>
      </c>
      <c r="R10" s="68"/>
      <c r="S10" s="75">
        <f>_xlfn.STDEV.P(C10:L10)</f>
        <v>1.0055167825551201E-2</v>
      </c>
      <c r="T10" s="75">
        <f t="shared" si="4"/>
        <v>8.0958260850885651E-3</v>
      </c>
      <c r="U10" s="75">
        <f t="shared" si="5"/>
        <v>2.2499999999999985E-3</v>
      </c>
      <c r="V10" s="75">
        <f t="shared" si="6"/>
        <v>1.4337208778404391E-3</v>
      </c>
      <c r="W10" s="68"/>
      <c r="X10" s="77">
        <f>MIN(C10:L10)</f>
        <v>3.44E-2</v>
      </c>
      <c r="Y10" s="69">
        <f>MAX(C10:L10)</f>
        <v>6.6000000000000003E-2</v>
      </c>
    </row>
    <row r="11" spans="1:25" x14ac:dyDescent="0.25">
      <c r="B11" s="26" t="s">
        <v>44</v>
      </c>
      <c r="C11" s="46">
        <v>2.5999999999999999E-2</v>
      </c>
      <c r="D11" s="47">
        <v>2.3E-2</v>
      </c>
      <c r="E11" s="47">
        <v>0.02</v>
      </c>
      <c r="F11" s="47">
        <v>2.4E-2</v>
      </c>
      <c r="G11" s="47">
        <v>2.7E-2</v>
      </c>
      <c r="H11" s="47">
        <v>2.5000000000000001E-2</v>
      </c>
      <c r="I11" s="47">
        <v>3.2000000000000001E-2</v>
      </c>
      <c r="J11" s="47">
        <v>0.04</v>
      </c>
      <c r="K11" s="47">
        <v>4.9000000000000002E-2</v>
      </c>
      <c r="L11" s="48">
        <v>7.0999999999999994E-2</v>
      </c>
      <c r="N11" s="74">
        <f t="shared" si="0"/>
        <v>3.3700000000000001E-2</v>
      </c>
      <c r="O11" s="79">
        <f t="shared" si="1"/>
        <v>4.3400000000000008E-2</v>
      </c>
      <c r="P11" s="69">
        <f t="shared" si="2"/>
        <v>2.5500000000000002E-2</v>
      </c>
      <c r="Q11" s="69">
        <f t="shared" si="3"/>
        <v>2.3000000000000003E-2</v>
      </c>
      <c r="R11" s="68"/>
      <c r="S11" s="75">
        <f>_xlfn.STDEV.P(C11:L11)</f>
        <v>1.4980320423809357E-2</v>
      </c>
      <c r="T11" s="75">
        <f t="shared" si="4"/>
        <v>1.5957443404254937E-2</v>
      </c>
      <c r="U11" s="75">
        <f t="shared" si="5"/>
        <v>1.4999999999999996E-3</v>
      </c>
      <c r="V11" s="75">
        <f t="shared" si="6"/>
        <v>2.4494897427831774E-3</v>
      </c>
      <c r="W11" s="68"/>
      <c r="X11" s="77">
        <f>MIN(C11:L11)</f>
        <v>0.02</v>
      </c>
      <c r="Y11" s="69">
        <f>MAX(C11:L11)</f>
        <v>7.0999999999999994E-2</v>
      </c>
    </row>
    <row r="12" spans="1:25" x14ac:dyDescent="0.25">
      <c r="B12" s="26" t="s">
        <v>45</v>
      </c>
      <c r="C12" s="46">
        <v>2.1000000000000001E-2</v>
      </c>
      <c r="D12" s="47">
        <v>1.9E-2</v>
      </c>
      <c r="E12" s="47">
        <v>1.6E-2</v>
      </c>
      <c r="F12" s="47">
        <v>1.6E-2</v>
      </c>
      <c r="G12" s="47">
        <v>1.9E-2</v>
      </c>
      <c r="H12" s="47">
        <v>2.1000000000000001E-2</v>
      </c>
      <c r="I12" s="47">
        <v>2.5999999999999999E-2</v>
      </c>
      <c r="J12" s="47">
        <v>0.04</v>
      </c>
      <c r="K12" s="47">
        <v>9.1999999999999998E-2</v>
      </c>
      <c r="L12" s="48">
        <v>0.11899999999999999</v>
      </c>
      <c r="N12" s="74">
        <f t="shared" si="0"/>
        <v>3.8900000000000004E-2</v>
      </c>
      <c r="O12" s="79">
        <f t="shared" si="1"/>
        <v>5.96E-2</v>
      </c>
      <c r="P12" s="69">
        <f t="shared" si="2"/>
        <v>1.7500000000000002E-2</v>
      </c>
      <c r="Q12" s="69">
        <f t="shared" si="3"/>
        <v>1.8666666666666668E-2</v>
      </c>
      <c r="R12" s="68"/>
      <c r="S12" s="75">
        <f>_xlfn.STDEV.P(C12:L12)</f>
        <v>3.447448331737548E-2</v>
      </c>
      <c r="T12" s="75">
        <f t="shared" si="4"/>
        <v>3.8938926538876234E-2</v>
      </c>
      <c r="U12" s="75">
        <f t="shared" si="5"/>
        <v>1.4999999999999996E-3</v>
      </c>
      <c r="V12" s="75">
        <f t="shared" si="6"/>
        <v>2.054804667656326E-3</v>
      </c>
      <c r="W12" s="68"/>
      <c r="X12" s="77">
        <f>MIN(C12:L12)</f>
        <v>1.6E-2</v>
      </c>
      <c r="Y12" s="69">
        <f>MAX(C12:L12)</f>
        <v>0.11899999999999999</v>
      </c>
    </row>
    <row r="13" spans="1:25" x14ac:dyDescent="0.25">
      <c r="B13" s="52" t="s">
        <v>46</v>
      </c>
      <c r="C13" s="49">
        <v>1.7100000000000001E-2</v>
      </c>
      <c r="D13" s="50">
        <v>1.66E-2</v>
      </c>
      <c r="E13" s="50">
        <v>1.49E-2</v>
      </c>
      <c r="F13" s="50">
        <v>1.7399999999999999E-2</v>
      </c>
      <c r="G13" s="50">
        <v>2.23E-2</v>
      </c>
      <c r="H13" s="50">
        <v>2.69E-2</v>
      </c>
      <c r="I13" s="50">
        <v>3.0499999999999999E-2</v>
      </c>
      <c r="J13" s="50">
        <v>3.6700000000000003E-2</v>
      </c>
      <c r="K13" s="50">
        <v>4.3999999999999997E-2</v>
      </c>
      <c r="L13" s="51">
        <v>5.0500000000000003E-2</v>
      </c>
      <c r="N13" s="74">
        <f t="shared" si="0"/>
        <v>2.7689999999999999E-2</v>
      </c>
      <c r="O13" s="79">
        <f t="shared" si="1"/>
        <v>3.7719999999999997E-2</v>
      </c>
      <c r="P13" s="69">
        <f t="shared" si="2"/>
        <v>1.985E-2</v>
      </c>
      <c r="Q13" s="69">
        <f t="shared" si="3"/>
        <v>1.6200000000000003E-2</v>
      </c>
      <c r="R13" s="68"/>
      <c r="S13" s="75">
        <f>_xlfn.STDEV.P(C13:L13)</f>
        <v>1.1872948243801968E-2</v>
      </c>
      <c r="T13" s="75">
        <f t="shared" si="4"/>
        <v>8.6372217755479805E-3</v>
      </c>
      <c r="U13" s="75">
        <f t="shared" si="5"/>
        <v>2.4500000000000008E-3</v>
      </c>
      <c r="V13" s="75">
        <f t="shared" si="6"/>
        <v>9.4162979278836917E-4</v>
      </c>
      <c r="W13" s="68"/>
      <c r="X13" s="77">
        <f>MIN(C13:L13)</f>
        <v>1.49E-2</v>
      </c>
      <c r="Y13" s="69">
        <f>MAX(C13:L13)</f>
        <v>5.0500000000000003E-2</v>
      </c>
    </row>
    <row r="14" spans="1:25" x14ac:dyDescent="0.25">
      <c r="N14" s="68"/>
      <c r="O14" s="79"/>
      <c r="P14" s="69"/>
      <c r="Q14" s="69"/>
      <c r="R14" s="68"/>
      <c r="S14" s="72"/>
      <c r="T14" s="75"/>
      <c r="U14" s="75"/>
      <c r="V14" s="75"/>
      <c r="W14" s="68"/>
      <c r="X14" s="68"/>
      <c r="Y14" s="68"/>
    </row>
    <row r="15" spans="1:25" x14ac:dyDescent="0.25">
      <c r="N15" s="68"/>
      <c r="O15" s="79"/>
      <c r="P15" s="69"/>
      <c r="Q15" s="69"/>
      <c r="R15" s="68"/>
      <c r="S15" s="72"/>
      <c r="T15" s="75"/>
      <c r="U15" s="75"/>
      <c r="V15" s="75"/>
      <c r="W15" s="68"/>
      <c r="X15" s="68"/>
      <c r="Y15" s="68"/>
    </row>
  </sheetData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E9171-AC07-4B81-98E1-439AE63D6C7E}">
  <dimension ref="A1:Y44"/>
  <sheetViews>
    <sheetView topLeftCell="A10" workbookViewId="0">
      <selection activeCell="F44" sqref="F44"/>
    </sheetView>
  </sheetViews>
  <sheetFormatPr defaultRowHeight="15" x14ac:dyDescent="0.25"/>
  <cols>
    <col min="1" max="1" width="9.140625" style="5"/>
    <col min="2" max="2" width="26.42578125" bestFit="1" customWidth="1"/>
    <col min="11" max="11" width="10.140625" bestFit="1" customWidth="1"/>
  </cols>
  <sheetData>
    <row r="1" spans="1:25" x14ac:dyDescent="0.25">
      <c r="A1" s="5" t="s">
        <v>51</v>
      </c>
      <c r="C1" s="16">
        <v>2024</v>
      </c>
      <c r="D1" s="17">
        <v>2023</v>
      </c>
      <c r="E1" s="17">
        <v>2022</v>
      </c>
      <c r="F1" s="17">
        <v>2021</v>
      </c>
      <c r="G1" s="17">
        <v>2020</v>
      </c>
      <c r="H1" s="17">
        <v>2019</v>
      </c>
      <c r="I1" s="17">
        <v>2018</v>
      </c>
      <c r="J1" s="17">
        <v>2017</v>
      </c>
      <c r="K1" s="17">
        <v>2016</v>
      </c>
      <c r="L1" s="18">
        <v>2015</v>
      </c>
      <c r="N1" s="16" t="s">
        <v>64</v>
      </c>
      <c r="O1" s="78" t="s">
        <v>68</v>
      </c>
      <c r="P1" s="70" t="s">
        <v>69</v>
      </c>
      <c r="Q1" s="70" t="s">
        <v>70</v>
      </c>
      <c r="R1" s="76"/>
      <c r="S1" s="18" t="s">
        <v>65</v>
      </c>
      <c r="T1" s="70" t="s">
        <v>68</v>
      </c>
      <c r="U1" s="70" t="s">
        <v>69</v>
      </c>
      <c r="V1" s="16" t="s">
        <v>70</v>
      </c>
      <c r="W1" s="76"/>
      <c r="X1" s="18" t="s">
        <v>66</v>
      </c>
      <c r="Y1" s="70" t="s">
        <v>67</v>
      </c>
    </row>
    <row r="2" spans="1:25" x14ac:dyDescent="0.25">
      <c r="B2" s="53" t="s">
        <v>42</v>
      </c>
      <c r="C2" s="41">
        <v>0.20300000000000001</v>
      </c>
      <c r="D2" s="36">
        <v>0.189</v>
      </c>
      <c r="E2" s="36">
        <v>0.17799999999999999</v>
      </c>
      <c r="F2" s="36">
        <v>0.191</v>
      </c>
      <c r="G2" s="36">
        <v>0.17699999999999999</v>
      </c>
      <c r="H2" s="36">
        <v>0.16800000000000001</v>
      </c>
      <c r="I2" s="36">
        <v>0.183</v>
      </c>
      <c r="J2" s="36">
        <v>0.14599999999999999</v>
      </c>
      <c r="K2" s="36">
        <v>0.16</v>
      </c>
      <c r="L2" s="37">
        <v>0.16200000000000001</v>
      </c>
      <c r="N2" s="74">
        <f>AVERAGE(C2:L2)</f>
        <v>0.1757</v>
      </c>
      <c r="O2" s="79">
        <f>AVERAGE(H2:L2)</f>
        <v>0.1638</v>
      </c>
      <c r="P2" s="69">
        <f>AVERAGE(F2:G2)</f>
        <v>0.184</v>
      </c>
      <c r="Q2" s="69">
        <f>AVERAGE(C2:E2)</f>
        <v>0.19000000000000003</v>
      </c>
      <c r="R2" s="68"/>
      <c r="S2" s="75">
        <f>_xlfn.STDEV.P(C2:L2)</f>
        <v>1.6100000000000003E-2</v>
      </c>
      <c r="T2" s="75">
        <f>_xlfn.STDEV.P(H2:L2)</f>
        <v>1.2006664815842909E-2</v>
      </c>
      <c r="U2" s="75">
        <f>_xlfn.STDEV.P(F2:G2)</f>
        <v>7.0000000000000062E-3</v>
      </c>
      <c r="V2" s="75">
        <f>_xlfn.STDEV.P(C2:E2)</f>
        <v>1.0230672835481881E-2</v>
      </c>
      <c r="W2" s="68"/>
      <c r="X2" s="77">
        <f>MIN(C2:L2)</f>
        <v>0.14599999999999999</v>
      </c>
      <c r="Y2" s="69">
        <f>MAX(C2:L2)</f>
        <v>0.20300000000000001</v>
      </c>
    </row>
    <row r="3" spans="1:25" x14ac:dyDescent="0.25">
      <c r="B3" s="26" t="s">
        <v>43</v>
      </c>
      <c r="C3" s="46">
        <v>0.18579999999999999</v>
      </c>
      <c r="D3" s="47">
        <v>0.18840000000000001</v>
      </c>
      <c r="E3" s="47">
        <v>0.19070000000000001</v>
      </c>
      <c r="F3" s="47">
        <v>0.18729999999999999</v>
      </c>
      <c r="G3" s="47">
        <v>0.18179999999999999</v>
      </c>
      <c r="H3" s="47">
        <v>0.1988</v>
      </c>
      <c r="I3" s="47">
        <v>0.1888</v>
      </c>
      <c r="J3" s="47">
        <v>0.17369999999999999</v>
      </c>
      <c r="K3" s="47">
        <v>0.15809999999999999</v>
      </c>
      <c r="L3" s="48">
        <v>0.14610000000000001</v>
      </c>
      <c r="N3" s="74">
        <f t="shared" ref="N3:N20" si="0">AVERAGE(C3:L3)</f>
        <v>0.17995</v>
      </c>
      <c r="O3" s="79">
        <f t="shared" ref="O3:O20" si="1">AVERAGE(H3:L3)</f>
        <v>0.1731</v>
      </c>
      <c r="P3" s="69">
        <f t="shared" ref="P3:P20" si="2">AVERAGE(F3:G3)</f>
        <v>0.18454999999999999</v>
      </c>
      <c r="Q3" s="69">
        <f t="shared" ref="Q3:Q20" si="3">AVERAGE(C3:E3)</f>
        <v>0.1883</v>
      </c>
      <c r="R3" s="68"/>
      <c r="S3" s="75">
        <f>_xlfn.STDEV.P(C3:L3)</f>
        <v>1.5409688510803845E-2</v>
      </c>
      <c r="T3" s="75">
        <f t="shared" ref="T3:T20" si="4">_xlfn.STDEV.P(H3:L3)</f>
        <v>1.9294247847480232E-2</v>
      </c>
      <c r="U3" s="75">
        <f t="shared" ref="U3:U20" si="5">_xlfn.STDEV.P(F3:G3)</f>
        <v>2.7500000000000024E-3</v>
      </c>
      <c r="V3" s="75">
        <f t="shared" ref="V3:V20" si="6">_xlfn.STDEV.P(C3:E3)</f>
        <v>2.0016659728003304E-3</v>
      </c>
      <c r="W3" s="68"/>
      <c r="X3" s="77">
        <f>MIN(C3:L3)</f>
        <v>0.14610000000000001</v>
      </c>
      <c r="Y3" s="69">
        <f>MAX(C3:L3)</f>
        <v>0.1988</v>
      </c>
    </row>
    <row r="4" spans="1:25" x14ac:dyDescent="0.25">
      <c r="B4" s="26" t="s">
        <v>44</v>
      </c>
      <c r="C4" s="46">
        <v>0.19500000000000001</v>
      </c>
      <c r="D4" s="47">
        <v>0.19900000000000001</v>
      </c>
      <c r="E4" s="47">
        <v>0.182</v>
      </c>
      <c r="F4" s="47">
        <v>0.191</v>
      </c>
      <c r="G4" s="47">
        <v>0.19700000000000001</v>
      </c>
      <c r="H4" s="47">
        <v>0.185</v>
      </c>
      <c r="I4" s="47">
        <v>0.18099999999999999</v>
      </c>
      <c r="J4" s="47">
        <v>0.182</v>
      </c>
      <c r="K4" s="47">
        <v>0.182</v>
      </c>
      <c r="L4" s="48">
        <v>0.17199999999999999</v>
      </c>
      <c r="N4" s="74">
        <f t="shared" si="0"/>
        <v>0.18660000000000002</v>
      </c>
      <c r="O4" s="79">
        <f t="shared" si="1"/>
        <v>0.18039999999999998</v>
      </c>
      <c r="P4" s="69">
        <f t="shared" si="2"/>
        <v>0.19400000000000001</v>
      </c>
      <c r="Q4" s="69">
        <f t="shared" si="3"/>
        <v>0.19200000000000003</v>
      </c>
      <c r="R4" s="68"/>
      <c r="S4" s="75">
        <f>_xlfn.STDEV.P(C4:L4)</f>
        <v>8.1387959797503302E-3</v>
      </c>
      <c r="T4" s="75">
        <f t="shared" si="4"/>
        <v>4.4090815370097245E-3</v>
      </c>
      <c r="U4" s="75">
        <f t="shared" si="5"/>
        <v>3.0000000000000027E-3</v>
      </c>
      <c r="V4" s="75">
        <f t="shared" si="6"/>
        <v>7.2571803523590874E-3</v>
      </c>
      <c r="W4" s="68"/>
      <c r="X4" s="77">
        <f>MIN(C4:L4)</f>
        <v>0.17199999999999999</v>
      </c>
      <c r="Y4" s="69">
        <f>MAX(C4:L4)</f>
        <v>0.19900000000000001</v>
      </c>
    </row>
    <row r="5" spans="1:25" x14ac:dyDescent="0.25">
      <c r="B5" s="26" t="s">
        <v>45</v>
      </c>
      <c r="C5" s="46">
        <v>0.215</v>
      </c>
      <c r="D5" s="47">
        <v>0.215</v>
      </c>
      <c r="E5" s="47">
        <v>0.20200000000000001</v>
      </c>
      <c r="F5" s="47">
        <v>0.17599999999999999</v>
      </c>
      <c r="G5" s="47">
        <v>0.185</v>
      </c>
      <c r="H5" s="47">
        <v>0.18</v>
      </c>
      <c r="I5" s="47">
        <v>0.183</v>
      </c>
      <c r="J5" s="47">
        <v>0.17799999999999999</v>
      </c>
      <c r="K5" s="47">
        <v>0.189</v>
      </c>
      <c r="L5" s="48">
        <v>0.16800000000000001</v>
      </c>
      <c r="N5" s="74">
        <f t="shared" si="0"/>
        <v>0.18909999999999999</v>
      </c>
      <c r="O5" s="79">
        <f t="shared" si="1"/>
        <v>0.17960000000000001</v>
      </c>
      <c r="P5" s="69">
        <f t="shared" si="2"/>
        <v>0.18049999999999999</v>
      </c>
      <c r="Q5" s="69">
        <f t="shared" si="3"/>
        <v>0.21066666666666667</v>
      </c>
      <c r="R5" s="68"/>
      <c r="S5" s="75">
        <f>_xlfn.STDEV.P(C5:L5)</f>
        <v>1.5443121446132579E-2</v>
      </c>
      <c r="T5" s="75">
        <f t="shared" si="4"/>
        <v>6.8876701430890227E-3</v>
      </c>
      <c r="U5" s="75">
        <f t="shared" si="5"/>
        <v>4.500000000000004E-3</v>
      </c>
      <c r="V5" s="75">
        <f t="shared" si="6"/>
        <v>6.128258770283404E-3</v>
      </c>
      <c r="W5" s="68"/>
      <c r="X5" s="77">
        <f>MIN(C5:L5)</f>
        <v>0.16800000000000001</v>
      </c>
      <c r="Y5" s="69">
        <f>MAX(C5:L5)</f>
        <v>0.215</v>
      </c>
    </row>
    <row r="6" spans="1:25" x14ac:dyDescent="0.25">
      <c r="B6" s="52" t="s">
        <v>46</v>
      </c>
      <c r="C6" s="49">
        <v>0.20849999999999999</v>
      </c>
      <c r="D6" s="50">
        <v>0.20710000000000001</v>
      </c>
      <c r="E6" s="50">
        <v>0.20319999999999999</v>
      </c>
      <c r="F6" s="50">
        <v>0.2041</v>
      </c>
      <c r="G6" s="50">
        <v>0.20480000000000001</v>
      </c>
      <c r="H6" s="50">
        <v>0.1978</v>
      </c>
      <c r="I6" s="50">
        <v>0.191</v>
      </c>
      <c r="J6" s="50">
        <v>0.19089999999999999</v>
      </c>
      <c r="K6" s="50">
        <v>0.18820000000000001</v>
      </c>
      <c r="L6" s="51">
        <v>0.18240000000000001</v>
      </c>
      <c r="N6" s="74">
        <f t="shared" si="0"/>
        <v>0.19780000000000003</v>
      </c>
      <c r="O6" s="79">
        <f t="shared" si="1"/>
        <v>0.19006000000000001</v>
      </c>
      <c r="P6" s="69">
        <f t="shared" si="2"/>
        <v>0.20445000000000002</v>
      </c>
      <c r="Q6" s="69">
        <f t="shared" si="3"/>
        <v>0.20626666666666668</v>
      </c>
      <c r="R6" s="68"/>
      <c r="S6" s="75">
        <f>_xlfn.STDEV.P(C6:L6)</f>
        <v>8.6139421869432103E-3</v>
      </c>
      <c r="T6" s="75">
        <f t="shared" si="4"/>
        <v>4.9725647305992899E-3</v>
      </c>
      <c r="U6" s="75">
        <f t="shared" si="5"/>
        <v>3.5000000000000309E-4</v>
      </c>
      <c r="V6" s="75">
        <f t="shared" si="6"/>
        <v>2.2425184255405561E-3</v>
      </c>
      <c r="W6" s="68"/>
      <c r="X6" s="77">
        <f>MIN(C6:L6)</f>
        <v>0.18240000000000001</v>
      </c>
      <c r="Y6" s="69">
        <f>MAX(C6:L6)</f>
        <v>0.20849999999999999</v>
      </c>
    </row>
    <row r="7" spans="1:25" x14ac:dyDescent="0.25">
      <c r="N7" s="68"/>
      <c r="O7" s="79"/>
      <c r="P7" s="69"/>
      <c r="Q7" s="69"/>
      <c r="R7" s="68"/>
      <c r="S7" s="72"/>
      <c r="T7" s="75"/>
      <c r="U7" s="75"/>
      <c r="V7" s="75"/>
      <c r="W7" s="68"/>
      <c r="X7" s="68"/>
      <c r="Y7" s="68"/>
    </row>
    <row r="8" spans="1:25" x14ac:dyDescent="0.25">
      <c r="A8" s="5" t="s">
        <v>52</v>
      </c>
      <c r="C8" s="16">
        <v>2024</v>
      </c>
      <c r="D8" s="17">
        <v>2023</v>
      </c>
      <c r="E8" s="17">
        <v>2022</v>
      </c>
      <c r="F8" s="17">
        <v>2021</v>
      </c>
      <c r="G8" s="17">
        <v>2020</v>
      </c>
      <c r="H8" s="17">
        <v>2019</v>
      </c>
      <c r="I8" s="17">
        <v>2018</v>
      </c>
      <c r="J8" s="17">
        <v>2017</v>
      </c>
      <c r="K8" s="17">
        <v>2016</v>
      </c>
      <c r="L8" s="18">
        <v>2015</v>
      </c>
      <c r="N8" s="68"/>
      <c r="O8" s="79"/>
      <c r="P8" s="69"/>
      <c r="Q8" s="69"/>
      <c r="R8" s="68"/>
      <c r="S8" s="72"/>
      <c r="T8" s="75"/>
      <c r="U8" s="75"/>
      <c r="V8" s="75"/>
      <c r="W8" s="68"/>
      <c r="X8" s="68"/>
      <c r="Y8" s="68"/>
    </row>
    <row r="9" spans="1:25" x14ac:dyDescent="0.25">
      <c r="B9" s="53" t="s">
        <v>42</v>
      </c>
      <c r="C9" s="41">
        <v>2.7010000000000001</v>
      </c>
      <c r="D9" s="36">
        <v>2.4609999999999999</v>
      </c>
      <c r="E9" s="36">
        <v>1.7210000000000001</v>
      </c>
      <c r="F9" s="36">
        <v>1.7989999999999999</v>
      </c>
      <c r="G9" s="36">
        <v>2.14</v>
      </c>
      <c r="H9" s="36">
        <v>1.6919999999999999</v>
      </c>
      <c r="I9" s="36">
        <v>2.0699999999999998</v>
      </c>
      <c r="J9" s="36" t="s">
        <v>54</v>
      </c>
      <c r="K9" s="36" t="s">
        <v>54</v>
      </c>
      <c r="L9" s="37" t="s">
        <v>54</v>
      </c>
      <c r="N9" s="74">
        <f>AVERAGE(C9:I9)</f>
        <v>2.0834285714285716</v>
      </c>
      <c r="O9" s="79">
        <f>AVERAGE(H9:I9)</f>
        <v>1.8809999999999998</v>
      </c>
      <c r="P9" s="69">
        <f t="shared" si="2"/>
        <v>1.9695</v>
      </c>
      <c r="Q9" s="69">
        <f t="shared" si="3"/>
        <v>2.2943333333333333</v>
      </c>
      <c r="R9" s="68"/>
      <c r="S9" s="75">
        <f>_xlfn.STDEV.P(C9:L9)</f>
        <v>0.35713257128045123</v>
      </c>
      <c r="T9" s="75">
        <f t="shared" si="4"/>
        <v>0.18899999999999995</v>
      </c>
      <c r="U9" s="75">
        <f t="shared" si="5"/>
        <v>0.1705000000000001</v>
      </c>
      <c r="V9" s="75">
        <f t="shared" si="6"/>
        <v>0.41707979518978755</v>
      </c>
      <c r="W9" s="68"/>
      <c r="X9" s="77">
        <f>MIN(C9:L9)</f>
        <v>1.6919999999999999</v>
      </c>
      <c r="Y9" s="69">
        <f>MAX(C9:L9)</f>
        <v>2.7010000000000001</v>
      </c>
    </row>
    <row r="10" spans="1:25" x14ac:dyDescent="0.25">
      <c r="B10" s="26" t="s">
        <v>43</v>
      </c>
      <c r="C10" s="46">
        <v>2.3109999999999999</v>
      </c>
      <c r="D10" s="47">
        <v>2.3140000000000001</v>
      </c>
      <c r="E10" s="47">
        <v>1.5580000000000001</v>
      </c>
      <c r="F10" s="47">
        <v>1.7649999999999999</v>
      </c>
      <c r="G10" s="47">
        <v>2.0470000000000002</v>
      </c>
      <c r="H10" s="47">
        <v>1.39</v>
      </c>
      <c r="I10" s="47">
        <v>1.2729999999999999</v>
      </c>
      <c r="J10" s="47">
        <v>1.607</v>
      </c>
      <c r="K10" s="47" t="s">
        <v>54</v>
      </c>
      <c r="L10" s="48" t="s">
        <v>54</v>
      </c>
      <c r="N10" s="74">
        <f>AVERAGE(C10:J10)</f>
        <v>1.7831249999999998</v>
      </c>
      <c r="O10" s="79">
        <f>AVERAGE(H10:I10)</f>
        <v>1.3314999999999999</v>
      </c>
      <c r="P10" s="69">
        <f t="shared" si="2"/>
        <v>1.9060000000000001</v>
      </c>
      <c r="Q10" s="69">
        <f t="shared" si="3"/>
        <v>2.0609999999999999</v>
      </c>
      <c r="R10" s="68"/>
      <c r="S10" s="75">
        <f>_xlfn.STDEV.P(C10:L10)</f>
        <v>0.37531901014337193</v>
      </c>
      <c r="T10" s="75">
        <f t="shared" si="4"/>
        <v>0.13837710150968704</v>
      </c>
      <c r="U10" s="75">
        <f t="shared" si="5"/>
        <v>0.14100000000000013</v>
      </c>
      <c r="V10" s="75">
        <f t="shared" si="6"/>
        <v>0.35567681959891606</v>
      </c>
      <c r="W10" s="68"/>
      <c r="X10" s="77">
        <f>MIN(C10:L10)</f>
        <v>1.2729999999999999</v>
      </c>
      <c r="Y10" s="69">
        <f>MAX(C10:L10)</f>
        <v>2.3140000000000001</v>
      </c>
    </row>
    <row r="11" spans="1:25" x14ac:dyDescent="0.25">
      <c r="B11" s="26" t="s">
        <v>44</v>
      </c>
      <c r="C11" s="46">
        <v>1.516</v>
      </c>
      <c r="D11" s="47">
        <v>1.534</v>
      </c>
      <c r="E11" s="47">
        <v>1.38</v>
      </c>
      <c r="F11" s="47">
        <v>1.7729999999999999</v>
      </c>
      <c r="G11" s="47">
        <v>1.893</v>
      </c>
      <c r="H11" s="47">
        <v>1.48</v>
      </c>
      <c r="I11" s="47">
        <v>1.5009999999999999</v>
      </c>
      <c r="J11" s="47">
        <v>1.452</v>
      </c>
      <c r="K11" s="47" t="s">
        <v>54</v>
      </c>
      <c r="L11" s="48" t="s">
        <v>54</v>
      </c>
      <c r="N11" s="74">
        <f>AVERAGE(C11:J11)</f>
        <v>1.566125</v>
      </c>
      <c r="O11" s="79">
        <f>AVERAGE(H11:I11)</f>
        <v>1.4904999999999999</v>
      </c>
      <c r="P11" s="69">
        <f t="shared" si="2"/>
        <v>1.833</v>
      </c>
      <c r="Q11" s="69">
        <f t="shared" si="3"/>
        <v>1.4766666666666666</v>
      </c>
      <c r="R11" s="68"/>
      <c r="S11" s="75">
        <f>_xlfn.STDEV.P(C11:L11)</f>
        <v>0.16298576433234901</v>
      </c>
      <c r="T11" s="75">
        <f t="shared" si="4"/>
        <v>2.0072092289766103E-2</v>
      </c>
      <c r="U11" s="75">
        <f t="shared" si="5"/>
        <v>6.0000000000000053E-2</v>
      </c>
      <c r="V11" s="75">
        <f t="shared" si="6"/>
        <v>6.8747525207982801E-2</v>
      </c>
      <c r="W11" s="68"/>
      <c r="X11" s="77">
        <f>MIN(C11:L11)</f>
        <v>1.38</v>
      </c>
      <c r="Y11" s="69">
        <f>MAX(C11:L11)</f>
        <v>1.893</v>
      </c>
    </row>
    <row r="12" spans="1:25" x14ac:dyDescent="0.25">
      <c r="B12" s="26" t="s">
        <v>45</v>
      </c>
      <c r="C12" s="46">
        <v>1.82</v>
      </c>
      <c r="D12" s="47">
        <v>1.89</v>
      </c>
      <c r="E12" s="47">
        <v>2.02</v>
      </c>
      <c r="F12" s="47">
        <v>1.53</v>
      </c>
      <c r="G12" s="47">
        <v>1.64</v>
      </c>
      <c r="H12" s="47">
        <v>1.4</v>
      </c>
      <c r="I12" s="47">
        <v>1.34</v>
      </c>
      <c r="J12" s="47">
        <v>1.39</v>
      </c>
      <c r="K12" s="47">
        <v>1.84</v>
      </c>
      <c r="L12" s="48" t="s">
        <v>54</v>
      </c>
      <c r="N12" s="74">
        <f>AVERAGE(C12:K12)</f>
        <v>1.6522222222222223</v>
      </c>
      <c r="O12" s="79">
        <f>AVERAGE(H12:I12)</f>
        <v>1.37</v>
      </c>
      <c r="P12" s="69">
        <f t="shared" si="2"/>
        <v>1.585</v>
      </c>
      <c r="Q12" s="69">
        <f t="shared" si="3"/>
        <v>1.9100000000000001</v>
      </c>
      <c r="R12" s="68"/>
      <c r="S12" s="75">
        <f>_xlfn.STDEV.P(C12:L12)</f>
        <v>0.23573892234031349</v>
      </c>
      <c r="T12" s="75">
        <f t="shared" si="4"/>
        <v>0.20191272867256349</v>
      </c>
      <c r="U12" s="75">
        <f t="shared" si="5"/>
        <v>5.4999999999999938E-2</v>
      </c>
      <c r="V12" s="75">
        <f t="shared" si="6"/>
        <v>8.2865352631040348E-2</v>
      </c>
      <c r="W12" s="68"/>
      <c r="X12" s="77">
        <f>MIN(C12:L12)</f>
        <v>1.34</v>
      </c>
      <c r="Y12" s="69">
        <f>MAX(C12:L12)</f>
        <v>2.02</v>
      </c>
    </row>
    <row r="13" spans="1:25" x14ac:dyDescent="0.25">
      <c r="B13" s="52" t="s">
        <v>46</v>
      </c>
      <c r="C13" s="49">
        <v>1.5386</v>
      </c>
      <c r="D13" s="50">
        <v>1.5979000000000001</v>
      </c>
      <c r="E13" s="50">
        <v>1.5902000000000001</v>
      </c>
      <c r="F13" s="50">
        <v>1.7335</v>
      </c>
      <c r="G13" s="50">
        <v>1.625</v>
      </c>
      <c r="H13" s="50">
        <v>1.4298999999999999</v>
      </c>
      <c r="I13" s="50">
        <v>1.403</v>
      </c>
      <c r="J13" s="50">
        <v>1.381</v>
      </c>
      <c r="K13" s="50">
        <v>1.3905000000000001</v>
      </c>
      <c r="L13" s="51" t="s">
        <v>54</v>
      </c>
      <c r="N13" s="74">
        <f>AVERAGE(C13:K13)</f>
        <v>1.5210666666666668</v>
      </c>
      <c r="O13" s="79">
        <f>AVERAGE(H13:I13)</f>
        <v>1.41645</v>
      </c>
      <c r="P13" s="69">
        <f t="shared" si="2"/>
        <v>1.6792500000000001</v>
      </c>
      <c r="Q13" s="69">
        <f t="shared" si="3"/>
        <v>1.5755666666666668</v>
      </c>
      <c r="R13" s="68"/>
      <c r="S13" s="75">
        <f>_xlfn.STDEV.P(C13:L13)</f>
        <v>0.11824535696780845</v>
      </c>
      <c r="T13" s="75">
        <f t="shared" si="4"/>
        <v>1.8367226246768967E-2</v>
      </c>
      <c r="U13" s="75">
        <f t="shared" si="5"/>
        <v>5.425000000000002E-2</v>
      </c>
      <c r="V13" s="75">
        <f t="shared" si="6"/>
        <v>2.6327720920901829E-2</v>
      </c>
      <c r="W13" s="68"/>
      <c r="X13" s="77">
        <f>MIN(C13:L13)</f>
        <v>1.381</v>
      </c>
      <c r="Y13" s="69">
        <f>MAX(C13:L13)</f>
        <v>1.7335</v>
      </c>
    </row>
    <row r="14" spans="1:25" x14ac:dyDescent="0.25">
      <c r="N14" s="68"/>
      <c r="O14" s="79"/>
      <c r="P14" s="69"/>
      <c r="Q14" s="69"/>
      <c r="R14" s="68"/>
      <c r="S14" s="72"/>
      <c r="T14" s="75"/>
      <c r="U14" s="75"/>
      <c r="V14" s="75"/>
      <c r="W14" s="68"/>
      <c r="X14" s="68"/>
      <c r="Y14" s="68"/>
    </row>
    <row r="15" spans="1:25" x14ac:dyDescent="0.25">
      <c r="A15" s="5" t="s">
        <v>53</v>
      </c>
      <c r="C15" s="16">
        <v>2024</v>
      </c>
      <c r="D15" s="17">
        <v>2023</v>
      </c>
      <c r="E15" s="17">
        <v>2022</v>
      </c>
      <c r="F15" s="17">
        <v>2021</v>
      </c>
      <c r="G15" s="17">
        <v>2020</v>
      </c>
      <c r="H15" s="17">
        <v>2019</v>
      </c>
      <c r="I15" s="17">
        <v>2018</v>
      </c>
      <c r="J15" s="17">
        <v>2017</v>
      </c>
      <c r="K15" s="17">
        <v>2016</v>
      </c>
      <c r="L15" s="18">
        <v>2015</v>
      </c>
      <c r="N15" s="68"/>
      <c r="O15" s="79"/>
      <c r="P15" s="69"/>
      <c r="Q15" s="69"/>
      <c r="R15" s="68"/>
      <c r="S15" s="72"/>
      <c r="T15" s="75"/>
      <c r="U15" s="75"/>
      <c r="V15" s="75"/>
      <c r="W15" s="68"/>
      <c r="X15" s="68"/>
      <c r="Y15" s="68"/>
    </row>
    <row r="16" spans="1:25" x14ac:dyDescent="0.25">
      <c r="B16" s="53" t="s">
        <v>42</v>
      </c>
      <c r="C16" s="41">
        <v>0.76847051665078814</v>
      </c>
      <c r="D16" s="36">
        <v>0.72880158421741481</v>
      </c>
      <c r="E16" s="36">
        <v>0.77985271631583952</v>
      </c>
      <c r="F16" s="36">
        <v>0.79422149636257633</v>
      </c>
      <c r="G16" s="36">
        <v>0.802967382622498</v>
      </c>
      <c r="H16" s="36">
        <v>0.83670128019269152</v>
      </c>
      <c r="I16" s="36">
        <v>0.77953212018972218</v>
      </c>
      <c r="J16" s="36">
        <v>0.75074346979271001</v>
      </c>
      <c r="K16" s="36">
        <v>0.77967291382902482</v>
      </c>
      <c r="L16" s="37">
        <v>0.80783720757815625</v>
      </c>
      <c r="N16" s="74">
        <f t="shared" si="0"/>
        <v>0.78288006877514216</v>
      </c>
      <c r="O16" s="79">
        <f t="shared" si="1"/>
        <v>0.790897398316461</v>
      </c>
      <c r="P16" s="69">
        <f t="shared" si="2"/>
        <v>0.79859443949253717</v>
      </c>
      <c r="Q16" s="69">
        <f t="shared" si="3"/>
        <v>0.75904160572801416</v>
      </c>
      <c r="R16" s="68"/>
      <c r="S16" s="75">
        <f>_xlfn.STDEV.P(C16:L16)</f>
        <v>2.87180220021209E-2</v>
      </c>
      <c r="T16" s="75">
        <f t="shared" si="4"/>
        <v>2.9163159319770628E-2</v>
      </c>
      <c r="U16" s="75">
        <f t="shared" si="5"/>
        <v>4.3729431299608379E-3</v>
      </c>
      <c r="V16" s="75">
        <f t="shared" si="6"/>
        <v>2.1881998583689857E-2</v>
      </c>
      <c r="W16" s="68"/>
      <c r="X16" s="77">
        <f>MIN(C16:L16)</f>
        <v>0.72880158421741481</v>
      </c>
      <c r="Y16" s="69">
        <f>MAX(C16:L16)</f>
        <v>0.83670128019269152</v>
      </c>
    </row>
    <row r="17" spans="2:25" x14ac:dyDescent="0.25">
      <c r="B17" s="26" t="s">
        <v>43</v>
      </c>
      <c r="C17" s="46">
        <v>0.68196046481711758</v>
      </c>
      <c r="D17" s="47">
        <v>0.65862377346296153</v>
      </c>
      <c r="E17" s="47">
        <v>0.73072405774519877</v>
      </c>
      <c r="F17" s="47">
        <v>0.76815101645692163</v>
      </c>
      <c r="G17" s="47">
        <v>0.83485741404468117</v>
      </c>
      <c r="H17" s="47">
        <v>0.95281648905024008</v>
      </c>
      <c r="I17" s="47">
        <v>0.96529450450941046</v>
      </c>
      <c r="J17" s="47">
        <v>0.98644768207044442</v>
      </c>
      <c r="K17" s="47">
        <v>1.042828486457356</v>
      </c>
      <c r="L17" s="48">
        <v>1.0221146043297296</v>
      </c>
      <c r="N17" s="74">
        <f t="shared" si="0"/>
        <v>0.86438184929440598</v>
      </c>
      <c r="O17" s="79">
        <f t="shared" si="1"/>
        <v>0.99390035328343607</v>
      </c>
      <c r="P17" s="69">
        <f t="shared" si="2"/>
        <v>0.8015042152508014</v>
      </c>
      <c r="Q17" s="69">
        <f t="shared" si="3"/>
        <v>0.69043609867509259</v>
      </c>
      <c r="R17" s="68"/>
      <c r="S17" s="75">
        <f>_xlfn.STDEV.P(C17:L17)</f>
        <v>0.13900984114086556</v>
      </c>
      <c r="T17" s="75">
        <f t="shared" si="4"/>
        <v>3.3916742091808227E-2</v>
      </c>
      <c r="U17" s="75">
        <f t="shared" si="5"/>
        <v>3.3353198793879768E-2</v>
      </c>
      <c r="V17" s="75">
        <f t="shared" si="6"/>
        <v>3.0038753029663717E-2</v>
      </c>
      <c r="W17" s="68"/>
      <c r="X17" s="77">
        <f>MIN(C17:L17)</f>
        <v>0.65862377346296153</v>
      </c>
      <c r="Y17" s="69">
        <f>MAX(C17:L17)</f>
        <v>1.042828486457356</v>
      </c>
    </row>
    <row r="18" spans="2:25" x14ac:dyDescent="0.25">
      <c r="B18" s="26" t="s">
        <v>44</v>
      </c>
      <c r="C18" s="54">
        <v>0.90200000000000002</v>
      </c>
      <c r="D18" s="55">
        <v>0.89300000000000002</v>
      </c>
      <c r="E18" s="55">
        <v>0.90200000000000002</v>
      </c>
      <c r="F18" s="55">
        <v>0.85599999999999998</v>
      </c>
      <c r="G18" s="55">
        <v>0.86899999999999999</v>
      </c>
      <c r="H18" s="55">
        <v>0.92200000000000004</v>
      </c>
      <c r="I18" s="55">
        <v>0.91800000000000004</v>
      </c>
      <c r="J18" s="55">
        <v>0.92400000000000004</v>
      </c>
      <c r="K18" s="55">
        <v>0.94699999999999995</v>
      </c>
      <c r="L18" s="56">
        <v>0.98399999999999999</v>
      </c>
      <c r="N18" s="74">
        <f t="shared" si="0"/>
        <v>0.91169999999999995</v>
      </c>
      <c r="O18" s="79">
        <f t="shared" si="1"/>
        <v>0.93900000000000006</v>
      </c>
      <c r="P18" s="69">
        <f t="shared" si="2"/>
        <v>0.86250000000000004</v>
      </c>
      <c r="Q18" s="69">
        <f t="shared" si="3"/>
        <v>0.89900000000000002</v>
      </c>
      <c r="R18" s="68"/>
      <c r="S18" s="75">
        <f>_xlfn.STDEV.P(C18:L18)</f>
        <v>3.4977278338944554E-2</v>
      </c>
      <c r="T18" s="75">
        <f t="shared" si="4"/>
        <v>2.4673872821265791E-2</v>
      </c>
      <c r="U18" s="75">
        <f t="shared" si="5"/>
        <v>6.5000000000000058E-3</v>
      </c>
      <c r="V18" s="75">
        <f t="shared" si="6"/>
        <v>4.2426406871192892E-3</v>
      </c>
      <c r="W18" s="68"/>
      <c r="X18" s="77">
        <f>MIN(C18:L18)</f>
        <v>0.85599999999999998</v>
      </c>
      <c r="Y18" s="69">
        <f>MAX(C18:L18)</f>
        <v>0.98399999999999999</v>
      </c>
    </row>
    <row r="19" spans="2:25" x14ac:dyDescent="0.25">
      <c r="B19" s="26" t="s">
        <v>45</v>
      </c>
      <c r="C19" s="46">
        <v>0.83568769007759425</v>
      </c>
      <c r="D19" s="47">
        <v>0.78453851282157017</v>
      </c>
      <c r="E19" s="47">
        <v>0.7493133425727605</v>
      </c>
      <c r="F19" s="47">
        <v>0.78433493589743586</v>
      </c>
      <c r="G19" s="47">
        <v>0.78199081023827843</v>
      </c>
      <c r="H19" s="47">
        <v>0.839911200874638</v>
      </c>
      <c r="I19" s="47">
        <v>0.81846187104793822</v>
      </c>
      <c r="J19" s="47">
        <v>0.82426037707727851</v>
      </c>
      <c r="K19" s="47">
        <v>0.95329207862104937</v>
      </c>
      <c r="L19" s="48">
        <v>0.94608716026241801</v>
      </c>
      <c r="N19" s="74">
        <f t="shared" si="0"/>
        <v>0.83178779794909607</v>
      </c>
      <c r="O19" s="79">
        <f t="shared" si="1"/>
        <v>0.87640253757666442</v>
      </c>
      <c r="P19" s="69">
        <f t="shared" si="2"/>
        <v>0.78316287306785715</v>
      </c>
      <c r="Q19" s="69">
        <f t="shared" si="3"/>
        <v>0.7898465151573083</v>
      </c>
      <c r="R19" s="68"/>
      <c r="S19" s="75">
        <f>_xlfn.STDEV.P(C19:L19)</f>
        <v>6.4737253965512442E-2</v>
      </c>
      <c r="T19" s="75">
        <f t="shared" si="4"/>
        <v>6.0291776478238607E-2</v>
      </c>
      <c r="U19" s="75">
        <f t="shared" si="5"/>
        <v>1.1720628295787128E-3</v>
      </c>
      <c r="V19" s="75">
        <f t="shared" si="6"/>
        <v>3.5461369999090525E-2</v>
      </c>
      <c r="W19" s="68"/>
      <c r="X19" s="77">
        <f>MIN(C19:L19)</f>
        <v>0.7493133425727605</v>
      </c>
      <c r="Y19" s="69">
        <f>MAX(C19:L19)</f>
        <v>0.95329207862104937</v>
      </c>
    </row>
    <row r="20" spans="2:25" x14ac:dyDescent="0.25">
      <c r="B20" s="52" t="s">
        <v>46</v>
      </c>
      <c r="C20" s="49">
        <v>1.016</v>
      </c>
      <c r="D20" s="50">
        <v>1.0386</v>
      </c>
      <c r="E20" s="50">
        <v>1.0884</v>
      </c>
      <c r="F20" s="50">
        <v>1.1175999999999999</v>
      </c>
      <c r="G20" s="50">
        <v>1.1318999999999999</v>
      </c>
      <c r="H20" s="50">
        <v>1.2275</v>
      </c>
      <c r="I20" s="50">
        <v>1.2554000000000001</v>
      </c>
      <c r="J20" s="50">
        <v>1.2163999999999999</v>
      </c>
      <c r="K20" s="50">
        <v>1.2274</v>
      </c>
      <c r="L20" s="51">
        <v>1.2508999999999999</v>
      </c>
      <c r="N20" s="74">
        <f t="shared" si="0"/>
        <v>1.1570099999999999</v>
      </c>
      <c r="O20" s="79">
        <f t="shared" si="1"/>
        <v>1.23552</v>
      </c>
      <c r="P20" s="69">
        <f t="shared" si="2"/>
        <v>1.1247499999999999</v>
      </c>
      <c r="Q20" s="69">
        <f t="shared" si="3"/>
        <v>1.0476666666666665</v>
      </c>
      <c r="R20" s="68"/>
      <c r="S20" s="75">
        <f>_xlfn.STDEV.P(C20:L20)</f>
        <v>8.5289172231884161E-2</v>
      </c>
      <c r="T20" s="75">
        <f t="shared" si="4"/>
        <v>1.501724342214643E-2</v>
      </c>
      <c r="U20" s="75">
        <f t="shared" si="5"/>
        <v>7.1499999999999897E-3</v>
      </c>
      <c r="V20" s="75">
        <f t="shared" si="6"/>
        <v>3.0244485264075659E-2</v>
      </c>
      <c r="W20" s="68"/>
      <c r="X20" s="77">
        <f>MIN(C20:L20)</f>
        <v>1.016</v>
      </c>
      <c r="Y20" s="69">
        <f>MAX(C20:L20)</f>
        <v>1.2554000000000001</v>
      </c>
    </row>
    <row r="44" spans="6:6" x14ac:dyDescent="0.25">
      <c r="F44" t="s">
        <v>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Méret</vt:lpstr>
      <vt:lpstr>OTP Bank Nyrt.</vt:lpstr>
      <vt:lpstr>PKO Bank</vt:lpstr>
      <vt:lpstr>Raiffeisen</vt:lpstr>
      <vt:lpstr>Erste Bank</vt:lpstr>
      <vt:lpstr>Benchmark Eurozóna adatok</vt:lpstr>
      <vt:lpstr>Eredményesség</vt:lpstr>
      <vt:lpstr>Hatékonyság</vt:lpstr>
      <vt:lpstr>Likviditás</vt:lpstr>
      <vt:lpstr>Tőzsde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Fincza Valentin</dc:creator>
  <cp:lastModifiedBy>Valentin Fincza</cp:lastModifiedBy>
  <dcterms:created xsi:type="dcterms:W3CDTF">2015-06-05T18:19:34Z</dcterms:created>
  <dcterms:modified xsi:type="dcterms:W3CDTF">2025-12-10T18:41:15Z</dcterms:modified>
</cp:coreProperties>
</file>